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seo\Proceso_de_Control_de_Cuotas\5.- PUBLICADOS\2018 Archivos web\45_Semana 27 de 12 al 31 de 12\"/>
    </mc:Choice>
  </mc:AlternateContent>
  <bookViews>
    <workbookView xWindow="0" yWindow="0" windowWidth="2160" windowHeight="0" tabRatio="722"/>
  </bookViews>
  <sheets>
    <sheet name="Resumen Anual" sheetId="6" r:id="rId1"/>
    <sheet name="Resumen Periodo" sheetId="3" r:id="rId2"/>
    <sheet name="Merluza sur Artesanal" sheetId="1" r:id="rId3"/>
    <sheet name="Merluza sur Industrial" sheetId="2" r:id="rId4"/>
    <sheet name="Fuera UP" sheetId="4" r:id="rId5"/>
    <sheet name="Pag. Web" sheetId="7" r:id="rId6"/>
  </sheets>
  <definedNames>
    <definedName name="_xlnm._FilterDatabase" localSheetId="2" hidden="1">'Merluza sur Artesanal'!$B$36:$BZ$36</definedName>
    <definedName name="_xlnm._FilterDatabase" localSheetId="5" hidden="1">'Pag. Web'!$A$1:$O$334</definedName>
  </definedNames>
  <calcPr calcId="162913"/>
</workbook>
</file>

<file path=xl/calcChain.xml><?xml version="1.0" encoding="utf-8"?>
<calcChain xmlns="http://schemas.openxmlformats.org/spreadsheetml/2006/main">
  <c r="F10" i="2" l="1"/>
  <c r="AU50" i="1"/>
  <c r="F16" i="2" l="1"/>
  <c r="F35" i="2"/>
  <c r="H12" i="2" l="1"/>
  <c r="F28" i="1" l="1"/>
  <c r="F24" i="1"/>
  <c r="F31" i="2"/>
  <c r="G111" i="1"/>
  <c r="G109" i="1"/>
  <c r="AU46" i="1"/>
  <c r="AU44" i="1"/>
  <c r="F12" i="2" l="1"/>
  <c r="H35" i="2" l="1"/>
  <c r="P21" i="2" l="1"/>
  <c r="K21" i="2"/>
  <c r="L21" i="2"/>
  <c r="M21" i="2"/>
  <c r="O21" i="2" s="1"/>
  <c r="N21" i="2"/>
  <c r="I21" i="2"/>
  <c r="G22" i="2" s="1"/>
  <c r="I22" i="2" s="1"/>
  <c r="G21" i="2"/>
  <c r="F22" i="2"/>
  <c r="F18" i="2"/>
  <c r="F37" i="2" l="1"/>
  <c r="F14" i="2"/>
  <c r="F8" i="2" l="1"/>
  <c r="AB42" i="1" l="1"/>
  <c r="I38" i="1"/>
  <c r="BO40" i="1" l="1"/>
  <c r="I88" i="1"/>
  <c r="I87" i="1"/>
  <c r="F10" i="1"/>
  <c r="F26" i="1"/>
  <c r="AB51" i="1" l="1"/>
  <c r="AB53" i="1"/>
  <c r="H37" i="2" l="1"/>
  <c r="BO49" i="1" l="1"/>
  <c r="AB43" i="1"/>
  <c r="I44" i="1" l="1"/>
  <c r="AB56" i="1"/>
  <c r="BO64" i="1"/>
  <c r="BO63" i="1"/>
  <c r="F15" i="2"/>
  <c r="F7" i="2"/>
  <c r="BO42" i="1"/>
  <c r="AU43" i="1"/>
  <c r="I52" i="1"/>
  <c r="F25" i="1"/>
  <c r="AB48" i="1" l="1"/>
  <c r="I95" i="1"/>
  <c r="N11" i="2" l="1"/>
  <c r="G11" i="2"/>
  <c r="G108" i="1" l="1"/>
  <c r="I71" i="1" l="1"/>
  <c r="I69" i="1"/>
  <c r="I67" i="1"/>
  <c r="I57" i="1"/>
  <c r="I63" i="1"/>
  <c r="I65" i="1"/>
  <c r="I49" i="1"/>
  <c r="I47" i="1"/>
  <c r="I39" i="1"/>
  <c r="I37" i="1"/>
  <c r="F7" i="1" l="1"/>
  <c r="F40" i="2" l="1"/>
  <c r="G110" i="1" l="1"/>
  <c r="BO59" i="1" l="1"/>
  <c r="E14" i="1"/>
  <c r="E13" i="1"/>
  <c r="J105" i="1" l="1"/>
  <c r="J104" i="1"/>
  <c r="AU54" i="1" l="1"/>
  <c r="I45" i="1" l="1"/>
  <c r="M82" i="7" l="1"/>
  <c r="G7" i="1" l="1"/>
  <c r="J7" i="1" s="1"/>
  <c r="BO54" i="1" l="1"/>
  <c r="BO53" i="1"/>
  <c r="E12" i="1" l="1"/>
  <c r="E11" i="1"/>
  <c r="N334" i="7" l="1"/>
  <c r="H334" i="7"/>
  <c r="J334" i="7" s="1"/>
  <c r="E22" i="1" l="1"/>
  <c r="E21" i="1"/>
  <c r="E32" i="1" s="1"/>
  <c r="AB44" i="1" l="1"/>
  <c r="I77" i="1"/>
  <c r="N327" i="7" l="1"/>
  <c r="N324" i="7"/>
  <c r="N321" i="7"/>
  <c r="N320" i="7"/>
  <c r="N315" i="7"/>
  <c r="N312" i="7"/>
  <c r="N309" i="7"/>
  <c r="N303" i="7"/>
  <c r="N294" i="7"/>
  <c r="N293" i="7"/>
  <c r="N291" i="7"/>
  <c r="N290" i="7"/>
  <c r="N288" i="7"/>
  <c r="N285" i="7"/>
  <c r="N282" i="7"/>
  <c r="N279" i="7"/>
  <c r="N278" i="7"/>
  <c r="N276" i="7"/>
  <c r="N275" i="7"/>
  <c r="N273" i="7"/>
  <c r="N272" i="7"/>
  <c r="N270" i="7"/>
  <c r="N269" i="7"/>
  <c r="N267" i="7"/>
  <c r="N266" i="7"/>
  <c r="N264" i="7"/>
  <c r="N263" i="7"/>
  <c r="N261" i="7"/>
  <c r="N260" i="7"/>
  <c r="N258" i="7"/>
  <c r="N257" i="7"/>
  <c r="N255" i="7"/>
  <c r="N254" i="7"/>
  <c r="N252" i="7"/>
  <c r="N249" i="7"/>
  <c r="N248" i="7"/>
  <c r="N246" i="7"/>
  <c r="N245" i="7"/>
  <c r="N243" i="7"/>
  <c r="N242" i="7"/>
  <c r="N240" i="7"/>
  <c r="N237" i="7"/>
  <c r="N234" i="7"/>
  <c r="N233" i="7"/>
  <c r="N231" i="7"/>
  <c r="N228" i="7"/>
  <c r="N227" i="7"/>
  <c r="N225" i="7"/>
  <c r="N224" i="7"/>
  <c r="N222" i="7"/>
  <c r="N221" i="7"/>
  <c r="N219" i="7"/>
  <c r="N198" i="7"/>
  <c r="N197" i="7"/>
  <c r="N195" i="7"/>
  <c r="N186" i="7"/>
  <c r="N177" i="7"/>
  <c r="N174" i="7"/>
  <c r="N171" i="7"/>
  <c r="N170" i="7"/>
  <c r="N156" i="7"/>
  <c r="N155" i="7"/>
  <c r="N153" i="7"/>
  <c r="N147" i="7"/>
  <c r="N146" i="7"/>
  <c r="N144" i="7"/>
  <c r="N138" i="7"/>
  <c r="N126" i="7"/>
  <c r="N114" i="7"/>
  <c r="N113" i="7"/>
  <c r="N111" i="7"/>
  <c r="N110" i="7"/>
  <c r="N105" i="7"/>
  <c r="N104" i="7"/>
  <c r="N102" i="7"/>
  <c r="N101" i="7"/>
  <c r="N96" i="7"/>
  <c r="N90" i="7"/>
  <c r="N89" i="7"/>
  <c r="N77" i="7"/>
  <c r="N78" i="7"/>
  <c r="N75" i="7"/>
  <c r="N72" i="7"/>
  <c r="N71" i="7"/>
  <c r="N69" i="7"/>
  <c r="N66" i="7"/>
  <c r="N65" i="7"/>
  <c r="N63" i="7"/>
  <c r="N60" i="7"/>
  <c r="N59" i="7"/>
  <c r="N57" i="7"/>
  <c r="N56" i="7"/>
  <c r="N54" i="7"/>
  <c r="N53" i="7"/>
  <c r="N51" i="7"/>
  <c r="N50" i="7"/>
  <c r="N48" i="7"/>
  <c r="N47" i="7"/>
  <c r="N45" i="7"/>
  <c r="N44" i="7"/>
  <c r="N318" i="7" l="1"/>
  <c r="N317" i="7"/>
  <c r="N314" i="7"/>
  <c r="N311" i="7"/>
  <c r="N308" i="7"/>
  <c r="N306" i="7"/>
  <c r="N305" i="7"/>
  <c r="N302" i="7"/>
  <c r="N300" i="7"/>
  <c r="N299" i="7"/>
  <c r="N297" i="7"/>
  <c r="N296" i="7"/>
  <c r="N287" i="7"/>
  <c r="N284" i="7"/>
  <c r="N281" i="7"/>
  <c r="N251" i="7"/>
  <c r="N239" i="7"/>
  <c r="N236" i="7"/>
  <c r="N230" i="7"/>
  <c r="N218" i="7"/>
  <c r="N216" i="7"/>
  <c r="N215" i="7"/>
  <c r="N213" i="7"/>
  <c r="N212" i="7"/>
  <c r="N210" i="7"/>
  <c r="N209" i="7"/>
  <c r="N207" i="7"/>
  <c r="N206" i="7"/>
  <c r="N204" i="7"/>
  <c r="N203" i="7"/>
  <c r="N201" i="7"/>
  <c r="N200" i="7"/>
  <c r="N194" i="7"/>
  <c r="N192" i="7"/>
  <c r="N191" i="7"/>
  <c r="N189" i="7"/>
  <c r="N188" i="7"/>
  <c r="N185" i="7"/>
  <c r="N183" i="7"/>
  <c r="N182" i="7"/>
  <c r="N180" i="7"/>
  <c r="N179" i="7"/>
  <c r="N176" i="7"/>
  <c r="N165" i="7"/>
  <c r="N159" i="7"/>
  <c r="N150" i="7"/>
  <c r="N135" i="7"/>
  <c r="N122" i="7"/>
  <c r="N119" i="7"/>
  <c r="N108" i="7"/>
  <c r="N99" i="7"/>
  <c r="N93" i="7"/>
  <c r="N87" i="7"/>
  <c r="N84" i="7"/>
  <c r="N81" i="7"/>
  <c r="N74" i="7"/>
  <c r="N68" i="7"/>
  <c r="N62" i="7"/>
  <c r="F9" i="1" l="1"/>
  <c r="F32" i="1" s="1"/>
  <c r="AB66" i="1" l="1"/>
  <c r="L7" i="1" l="1"/>
  <c r="M7" i="1"/>
  <c r="BO46" i="1"/>
  <c r="BO45" i="1"/>
  <c r="F11" i="2"/>
  <c r="F25" i="2" s="1"/>
  <c r="N7" i="1" l="1"/>
  <c r="H108" i="1"/>
  <c r="J323" i="7" s="1"/>
  <c r="N108" i="1"/>
  <c r="M108" i="1"/>
  <c r="H325" i="7" s="1"/>
  <c r="P110" i="1"/>
  <c r="K328" i="7" s="1"/>
  <c r="P108" i="1"/>
  <c r="K325" i="7" s="1"/>
  <c r="M110" i="1"/>
  <c r="H328" i="7" s="1"/>
  <c r="H324" i="7"/>
  <c r="I324" i="7"/>
  <c r="K324" i="7"/>
  <c r="H326" i="7"/>
  <c r="K326" i="7"/>
  <c r="H327" i="7"/>
  <c r="K327" i="7"/>
  <c r="I323" i="7"/>
  <c r="K323" i="7"/>
  <c r="H323" i="7"/>
  <c r="I276" i="7"/>
  <c r="K276" i="7"/>
  <c r="K278" i="7"/>
  <c r="K279" i="7"/>
  <c r="K281" i="7"/>
  <c r="K282" i="7"/>
  <c r="H284" i="7"/>
  <c r="I284" i="7"/>
  <c r="K284" i="7"/>
  <c r="H285" i="7"/>
  <c r="I285" i="7"/>
  <c r="K285" i="7"/>
  <c r="I287" i="7"/>
  <c r="K287" i="7"/>
  <c r="I288" i="7"/>
  <c r="K288" i="7"/>
  <c r="I290" i="7"/>
  <c r="K290" i="7"/>
  <c r="I291" i="7"/>
  <c r="K291" i="7"/>
  <c r="H293" i="7"/>
  <c r="I293" i="7"/>
  <c r="K293" i="7"/>
  <c r="H294" i="7"/>
  <c r="I294" i="7"/>
  <c r="K294" i="7"/>
  <c r="K296" i="7"/>
  <c r="K297" i="7"/>
  <c r="H299" i="7"/>
  <c r="I299" i="7"/>
  <c r="K299" i="7"/>
  <c r="H300" i="7"/>
  <c r="I300" i="7"/>
  <c r="K300" i="7"/>
  <c r="H302" i="7"/>
  <c r="K302" i="7"/>
  <c r="H303" i="7"/>
  <c r="K303" i="7"/>
  <c r="K305" i="7"/>
  <c r="K306" i="7"/>
  <c r="I308" i="7"/>
  <c r="K308" i="7"/>
  <c r="K309" i="7"/>
  <c r="K311" i="7"/>
  <c r="K312" i="7"/>
  <c r="H314" i="7"/>
  <c r="I314" i="7"/>
  <c r="K314" i="7"/>
  <c r="H315" i="7"/>
  <c r="I315" i="7"/>
  <c r="K315" i="7"/>
  <c r="K317" i="7"/>
  <c r="K318" i="7"/>
  <c r="H320" i="7"/>
  <c r="I320" i="7"/>
  <c r="K320" i="7"/>
  <c r="H321" i="7"/>
  <c r="I321" i="7"/>
  <c r="K321" i="7"/>
  <c r="I275" i="7"/>
  <c r="K275" i="7"/>
  <c r="BX39" i="1"/>
  <c r="BX41" i="1"/>
  <c r="K283" i="7" s="1"/>
  <c r="BX43" i="1"/>
  <c r="K286" i="7" s="1"/>
  <c r="BX45" i="1"/>
  <c r="K289" i="7" s="1"/>
  <c r="BX47" i="1"/>
  <c r="K292" i="7" s="1"/>
  <c r="BX49" i="1"/>
  <c r="BX51" i="1"/>
  <c r="K298" i="7" s="1"/>
  <c r="BX53" i="1"/>
  <c r="K301" i="7" s="1"/>
  <c r="BX55" i="1"/>
  <c r="K304" i="7" s="1"/>
  <c r="BX57" i="1"/>
  <c r="K307" i="7" s="1"/>
  <c r="BX59" i="1"/>
  <c r="K310" i="7" s="1"/>
  <c r="BX61" i="1"/>
  <c r="K313" i="7" s="1"/>
  <c r="BX63" i="1"/>
  <c r="K316" i="7" s="1"/>
  <c r="BX65" i="1"/>
  <c r="K319" i="7" s="1"/>
  <c r="BX67" i="1"/>
  <c r="K322" i="7" s="1"/>
  <c r="BX37" i="1"/>
  <c r="K277" i="7" s="1"/>
  <c r="BV43" i="1"/>
  <c r="I286" i="7" s="1"/>
  <c r="BV45" i="1"/>
  <c r="BV47" i="1"/>
  <c r="I292" i="7" s="1"/>
  <c r="BV49" i="1"/>
  <c r="I295" i="7" s="1"/>
  <c r="BV53" i="1"/>
  <c r="BV63" i="1"/>
  <c r="I316" i="7" s="1"/>
  <c r="BV67" i="1"/>
  <c r="I322" i="7" s="1"/>
  <c r="BV37" i="1"/>
  <c r="I277" i="7" s="1"/>
  <c r="BU43" i="1"/>
  <c r="H286" i="7" s="1"/>
  <c r="BU49" i="1"/>
  <c r="H295" i="7" s="1"/>
  <c r="BU53" i="1"/>
  <c r="H301" i="7" s="1"/>
  <c r="BU55" i="1"/>
  <c r="H304" i="7" s="1"/>
  <c r="BU63" i="1"/>
  <c r="H316" i="7" s="1"/>
  <c r="BU67" i="1"/>
  <c r="H322" i="7" s="1"/>
  <c r="I228" i="7"/>
  <c r="K228" i="7"/>
  <c r="K230" i="7"/>
  <c r="K231" i="7"/>
  <c r="I233" i="7"/>
  <c r="K233" i="7"/>
  <c r="I234" i="7"/>
  <c r="K234" i="7"/>
  <c r="I236" i="7"/>
  <c r="K236" i="7"/>
  <c r="I237" i="7"/>
  <c r="K237" i="7"/>
  <c r="K239" i="7"/>
  <c r="K240" i="7"/>
  <c r="I242" i="7"/>
  <c r="K242" i="7"/>
  <c r="I243" i="7"/>
  <c r="K243" i="7"/>
  <c r="I245" i="7"/>
  <c r="K245" i="7"/>
  <c r="I246" i="7"/>
  <c r="K246" i="7"/>
  <c r="I248" i="7"/>
  <c r="K248" i="7"/>
  <c r="I249" i="7"/>
  <c r="K249" i="7"/>
  <c r="K251" i="7"/>
  <c r="I252" i="7"/>
  <c r="K252" i="7"/>
  <c r="H254" i="7"/>
  <c r="I254" i="7"/>
  <c r="K254" i="7"/>
  <c r="H255" i="7"/>
  <c r="I255" i="7"/>
  <c r="K255" i="7"/>
  <c r="I257" i="7"/>
  <c r="K257" i="7"/>
  <c r="I258" i="7"/>
  <c r="K258" i="7"/>
  <c r="I260" i="7"/>
  <c r="K260" i="7"/>
  <c r="I261" i="7"/>
  <c r="K261" i="7"/>
  <c r="I263" i="7"/>
  <c r="K263" i="7"/>
  <c r="I264" i="7"/>
  <c r="K264" i="7"/>
  <c r="I266" i="7"/>
  <c r="K266" i="7"/>
  <c r="I267" i="7"/>
  <c r="K267" i="7"/>
  <c r="I269" i="7"/>
  <c r="K269" i="7"/>
  <c r="I270" i="7"/>
  <c r="K270" i="7"/>
  <c r="I272" i="7"/>
  <c r="K272" i="7"/>
  <c r="I273" i="7"/>
  <c r="K273" i="7"/>
  <c r="I227" i="7"/>
  <c r="K227" i="7"/>
  <c r="BD39" i="1"/>
  <c r="K232" i="7" s="1"/>
  <c r="BD41" i="1"/>
  <c r="K235" i="7" s="1"/>
  <c r="BD43" i="1"/>
  <c r="K238" i="7" s="1"/>
  <c r="BD45" i="1"/>
  <c r="BD47" i="1"/>
  <c r="K244" i="7" s="1"/>
  <c r="BD49" i="1"/>
  <c r="K247" i="7" s="1"/>
  <c r="BD51" i="1"/>
  <c r="K250" i="7" s="1"/>
  <c r="BD53" i="1"/>
  <c r="K253" i="7" s="1"/>
  <c r="BD55" i="1"/>
  <c r="BD57" i="1"/>
  <c r="K259" i="7" s="1"/>
  <c r="BD59" i="1"/>
  <c r="BD61" i="1"/>
  <c r="BD63" i="1"/>
  <c r="BD65" i="1"/>
  <c r="K271" i="7" s="1"/>
  <c r="BD67" i="1"/>
  <c r="K274" i="7" s="1"/>
  <c r="BD37" i="1"/>
  <c r="AK37" i="1"/>
  <c r="BB41" i="1"/>
  <c r="I235" i="7" s="1"/>
  <c r="BB43" i="1"/>
  <c r="I238" i="7" s="1"/>
  <c r="BB47" i="1"/>
  <c r="I244" i="7" s="1"/>
  <c r="BB49" i="1"/>
  <c r="I247" i="7" s="1"/>
  <c r="BB51" i="1"/>
  <c r="I250" i="7" s="1"/>
  <c r="BB55" i="1"/>
  <c r="I256" i="7" s="1"/>
  <c r="BB57" i="1"/>
  <c r="I259" i="7" s="1"/>
  <c r="BB59" i="1"/>
  <c r="I262" i="7" s="1"/>
  <c r="BB61" i="1"/>
  <c r="I265" i="7" s="1"/>
  <c r="BB63" i="1"/>
  <c r="I268" i="7" s="1"/>
  <c r="BB65" i="1"/>
  <c r="I271" i="7" s="1"/>
  <c r="BB67" i="1"/>
  <c r="I274" i="7" s="1"/>
  <c r="BB37" i="1"/>
  <c r="I229" i="7" s="1"/>
  <c r="BA55" i="1"/>
  <c r="H256" i="7" s="1"/>
  <c r="M217" i="7"/>
  <c r="K178" i="7"/>
  <c r="AK39" i="1"/>
  <c r="K181" i="7" s="1"/>
  <c r="AK41" i="1"/>
  <c r="K184" i="7" s="1"/>
  <c r="AK43" i="1"/>
  <c r="K187" i="7" s="1"/>
  <c r="AK45" i="1"/>
  <c r="AK47" i="1"/>
  <c r="K193" i="7" s="1"/>
  <c r="AK49" i="1"/>
  <c r="K196" i="7" s="1"/>
  <c r="AK51" i="1"/>
  <c r="AK53" i="1"/>
  <c r="AK55" i="1"/>
  <c r="AK57" i="1"/>
  <c r="K208" i="7" s="1"/>
  <c r="AK59" i="1"/>
  <c r="K211" i="7" s="1"/>
  <c r="AK61" i="1"/>
  <c r="AK63" i="1"/>
  <c r="AK65" i="1"/>
  <c r="K220" i="7" s="1"/>
  <c r="AK67" i="1"/>
  <c r="K223" i="7" s="1"/>
  <c r="AK69" i="1"/>
  <c r="K226" i="7" s="1"/>
  <c r="R37" i="1"/>
  <c r="K79" i="7" s="1"/>
  <c r="AI51" i="1"/>
  <c r="I199" i="7" s="1"/>
  <c r="AI67" i="1"/>
  <c r="I223" i="7" s="1"/>
  <c r="AI69" i="1"/>
  <c r="I226" i="7" s="1"/>
  <c r="AH51" i="1"/>
  <c r="H199" i="7" s="1"/>
  <c r="K177" i="7"/>
  <c r="K179" i="7"/>
  <c r="K180" i="7"/>
  <c r="K182" i="7"/>
  <c r="K183" i="7"/>
  <c r="K185" i="7"/>
  <c r="I186" i="7"/>
  <c r="K186" i="7"/>
  <c r="K188" i="7"/>
  <c r="K189" i="7"/>
  <c r="K191" i="7"/>
  <c r="K192" i="7"/>
  <c r="K194" i="7"/>
  <c r="M194" i="7"/>
  <c r="K195" i="7"/>
  <c r="M195" i="7"/>
  <c r="H197" i="7"/>
  <c r="I197" i="7"/>
  <c r="K197" i="7"/>
  <c r="H198" i="7"/>
  <c r="I198" i="7"/>
  <c r="K198" i="7"/>
  <c r="K200" i="7"/>
  <c r="K201" i="7"/>
  <c r="K203" i="7"/>
  <c r="K204" i="7"/>
  <c r="K206" i="7"/>
  <c r="K207" i="7"/>
  <c r="K209" i="7"/>
  <c r="M209" i="7"/>
  <c r="K210" i="7"/>
  <c r="M210" i="7"/>
  <c r="K212" i="7"/>
  <c r="K213" i="7"/>
  <c r="K215" i="7"/>
  <c r="K216" i="7"/>
  <c r="K218" i="7"/>
  <c r="M218" i="7"/>
  <c r="I219" i="7"/>
  <c r="K219" i="7"/>
  <c r="I221" i="7"/>
  <c r="K221" i="7"/>
  <c r="I222" i="7"/>
  <c r="K222" i="7"/>
  <c r="I224" i="7"/>
  <c r="K224" i="7"/>
  <c r="I225" i="7"/>
  <c r="K225" i="7"/>
  <c r="K176" i="7"/>
  <c r="M176" i="7"/>
  <c r="K80" i="7"/>
  <c r="N80" i="7"/>
  <c r="I81" i="7"/>
  <c r="K81" i="7"/>
  <c r="I83" i="7"/>
  <c r="K83" i="7"/>
  <c r="N83" i="7"/>
  <c r="I84" i="7"/>
  <c r="K84" i="7"/>
  <c r="I86" i="7"/>
  <c r="K86" i="7"/>
  <c r="N86" i="7"/>
  <c r="I87" i="7"/>
  <c r="K87" i="7"/>
  <c r="I89" i="7"/>
  <c r="K89" i="7"/>
  <c r="I90" i="7"/>
  <c r="K90" i="7"/>
  <c r="K92" i="7"/>
  <c r="N92" i="7"/>
  <c r="K93" i="7"/>
  <c r="M93" i="7"/>
  <c r="K95" i="7"/>
  <c r="N95" i="7"/>
  <c r="K96" i="7"/>
  <c r="I98" i="7"/>
  <c r="K98" i="7"/>
  <c r="N98" i="7"/>
  <c r="I99" i="7"/>
  <c r="K99" i="7"/>
  <c r="I101" i="7"/>
  <c r="K101" i="7"/>
  <c r="I102" i="7"/>
  <c r="K102" i="7"/>
  <c r="I104" i="7"/>
  <c r="K104" i="7"/>
  <c r="I105" i="7"/>
  <c r="K105" i="7"/>
  <c r="K107" i="7"/>
  <c r="N107" i="7"/>
  <c r="K108" i="7"/>
  <c r="I110" i="7"/>
  <c r="K110" i="7"/>
  <c r="I111" i="7"/>
  <c r="K111" i="7"/>
  <c r="I113" i="7"/>
  <c r="K113" i="7"/>
  <c r="I114" i="7"/>
  <c r="K114" i="7"/>
  <c r="K116" i="7"/>
  <c r="N116" i="7"/>
  <c r="K117" i="7"/>
  <c r="N117" i="7"/>
  <c r="K119" i="7"/>
  <c r="K120" i="7"/>
  <c r="N120" i="7"/>
  <c r="K122" i="7"/>
  <c r="K123" i="7"/>
  <c r="N123" i="7"/>
  <c r="K125" i="7"/>
  <c r="N125" i="7"/>
  <c r="K126" i="7"/>
  <c r="K128" i="7"/>
  <c r="M128" i="7"/>
  <c r="N128" i="7"/>
  <c r="K129" i="7"/>
  <c r="M129" i="7"/>
  <c r="N129" i="7"/>
  <c r="K131" i="7"/>
  <c r="N131" i="7"/>
  <c r="K132" i="7"/>
  <c r="N132" i="7"/>
  <c r="K134" i="7"/>
  <c r="N134" i="7"/>
  <c r="K135" i="7"/>
  <c r="I137" i="7"/>
  <c r="K137" i="7"/>
  <c r="N137" i="7"/>
  <c r="K138" i="7"/>
  <c r="K140" i="7"/>
  <c r="N140" i="7"/>
  <c r="K141" i="7"/>
  <c r="N141" i="7"/>
  <c r="K143" i="7"/>
  <c r="N143" i="7"/>
  <c r="I144" i="7"/>
  <c r="K144" i="7"/>
  <c r="K146" i="7"/>
  <c r="K147" i="7"/>
  <c r="K149" i="7"/>
  <c r="N149" i="7"/>
  <c r="K150" i="7"/>
  <c r="K152" i="7"/>
  <c r="M152" i="7"/>
  <c r="N152" i="7"/>
  <c r="K153" i="7"/>
  <c r="M153" i="7"/>
  <c r="I155" i="7"/>
  <c r="K155" i="7"/>
  <c r="M155" i="7"/>
  <c r="I156" i="7"/>
  <c r="K156" i="7"/>
  <c r="K158" i="7"/>
  <c r="N158" i="7"/>
  <c r="K159" i="7"/>
  <c r="K161" i="7"/>
  <c r="N161" i="7"/>
  <c r="K162" i="7"/>
  <c r="N162" i="7"/>
  <c r="K164" i="7"/>
  <c r="N164" i="7"/>
  <c r="K165" i="7"/>
  <c r="K167" i="7"/>
  <c r="N167" i="7"/>
  <c r="K168" i="7"/>
  <c r="N168" i="7"/>
  <c r="I170" i="7"/>
  <c r="K170" i="7"/>
  <c r="I171" i="7"/>
  <c r="K171" i="7"/>
  <c r="I173" i="7"/>
  <c r="K173" i="7"/>
  <c r="N173" i="7"/>
  <c r="I174" i="7"/>
  <c r="K174" i="7"/>
  <c r="K77" i="7"/>
  <c r="BW67" i="1" l="1"/>
  <c r="J322" i="7" s="1"/>
  <c r="K214" i="7"/>
  <c r="K202" i="7"/>
  <c r="K190" i="7"/>
  <c r="K265" i="7"/>
  <c r="K241" i="7"/>
  <c r="K205" i="7"/>
  <c r="K280" i="7"/>
  <c r="O108" i="1"/>
  <c r="J325" i="7" s="1"/>
  <c r="BW53" i="1"/>
  <c r="J301" i="7" s="1"/>
  <c r="BW63" i="1"/>
  <c r="J316" i="7" s="1"/>
  <c r="K217" i="7"/>
  <c r="K262" i="7"/>
  <c r="BC55" i="1"/>
  <c r="J256" i="7" s="1"/>
  <c r="BY67" i="1"/>
  <c r="L322" i="7" s="1"/>
  <c r="BZ67" i="1"/>
  <c r="M322" i="7" s="1"/>
  <c r="K229" i="7"/>
  <c r="I301" i="7"/>
  <c r="AJ51" i="1"/>
  <c r="J199" i="7" s="1"/>
  <c r="BW49" i="1"/>
  <c r="J295" i="7" s="1"/>
  <c r="K199" i="7"/>
  <c r="K256" i="7"/>
  <c r="BW43" i="1"/>
  <c r="K295" i="7"/>
  <c r="K268" i="7"/>
  <c r="I289" i="7"/>
  <c r="I325" i="7"/>
  <c r="BY53" i="1"/>
  <c r="L301" i="7" s="1"/>
  <c r="BZ53" i="1" l="1"/>
  <c r="M301" i="7" s="1"/>
  <c r="Q108" i="1"/>
  <c r="L325" i="7" s="1"/>
  <c r="BY63" i="1"/>
  <c r="L316" i="7" s="1"/>
  <c r="AL51" i="1"/>
  <c r="L199" i="7" s="1"/>
  <c r="R108" i="1"/>
  <c r="M325" i="7" s="1"/>
  <c r="BZ63" i="1"/>
  <c r="M316" i="7" s="1"/>
  <c r="BE55" i="1"/>
  <c r="L256" i="7" s="1"/>
  <c r="BF55" i="1"/>
  <c r="M256" i="7" s="1"/>
  <c r="AM51" i="1"/>
  <c r="M199" i="7" s="1"/>
  <c r="BY49" i="1"/>
  <c r="L295" i="7" s="1"/>
  <c r="BZ49" i="1"/>
  <c r="M295" i="7" s="1"/>
  <c r="J286" i="7"/>
  <c r="BZ43" i="1"/>
  <c r="M286" i="7" s="1"/>
  <c r="BY43" i="1"/>
  <c r="L286" i="7" s="1"/>
  <c r="R39" i="1" l="1"/>
  <c r="K82" i="7" s="1"/>
  <c r="R41" i="1"/>
  <c r="K85" i="7" s="1"/>
  <c r="R43" i="1"/>
  <c r="K88" i="7" s="1"/>
  <c r="R45" i="1"/>
  <c r="K91" i="7" s="1"/>
  <c r="R47" i="1"/>
  <c r="K94" i="7" s="1"/>
  <c r="R49" i="1"/>
  <c r="K97" i="7" s="1"/>
  <c r="R51" i="1"/>
  <c r="K100" i="7" s="1"/>
  <c r="R53" i="1"/>
  <c r="K103" i="7" s="1"/>
  <c r="R55" i="1"/>
  <c r="K106" i="7" s="1"/>
  <c r="R57" i="1"/>
  <c r="K109" i="7" s="1"/>
  <c r="R59" i="1"/>
  <c r="R61" i="1"/>
  <c r="K115" i="7" s="1"/>
  <c r="R63" i="1"/>
  <c r="K118" i="7" s="1"/>
  <c r="R65" i="1"/>
  <c r="K121" i="7" s="1"/>
  <c r="R67" i="1"/>
  <c r="K124" i="7" s="1"/>
  <c r="R69" i="1"/>
  <c r="K127" i="7" s="1"/>
  <c r="R71" i="1"/>
  <c r="K130" i="7" s="1"/>
  <c r="R73" i="1"/>
  <c r="K133" i="7" s="1"/>
  <c r="R75" i="1"/>
  <c r="K136" i="7" s="1"/>
  <c r="R77" i="1"/>
  <c r="K139" i="7" s="1"/>
  <c r="R79" i="1"/>
  <c r="K142" i="7" s="1"/>
  <c r="R81" i="1"/>
  <c r="K145" i="7" s="1"/>
  <c r="R83" i="1"/>
  <c r="K148" i="7" s="1"/>
  <c r="R85" i="1"/>
  <c r="K151" i="7" s="1"/>
  <c r="R87" i="1"/>
  <c r="K154" i="7" s="1"/>
  <c r="R89" i="1"/>
  <c r="R91" i="1"/>
  <c r="K160" i="7" s="1"/>
  <c r="R93" i="1"/>
  <c r="K163" i="7" s="1"/>
  <c r="R95" i="1"/>
  <c r="R97" i="1"/>
  <c r="K169" i="7" s="1"/>
  <c r="R99" i="1"/>
  <c r="K172" i="7" s="1"/>
  <c r="R101" i="1"/>
  <c r="K175" i="7" s="1"/>
  <c r="O7" i="1"/>
  <c r="Q7" i="1" s="1"/>
  <c r="P41" i="1"/>
  <c r="I85" i="7" s="1"/>
  <c r="P43" i="1"/>
  <c r="I88" i="7" s="1"/>
  <c r="P45" i="1"/>
  <c r="I91" i="7" s="1"/>
  <c r="P51" i="1"/>
  <c r="I100" i="7" s="1"/>
  <c r="P53" i="1"/>
  <c r="I103" i="7" s="1"/>
  <c r="P55" i="1"/>
  <c r="I106" i="7" s="1"/>
  <c r="P59" i="1"/>
  <c r="I112" i="7" s="1"/>
  <c r="P61" i="1"/>
  <c r="I115" i="7" s="1"/>
  <c r="P89" i="1"/>
  <c r="I157" i="7" s="1"/>
  <c r="P99" i="1"/>
  <c r="I172" i="7" s="1"/>
  <c r="P101" i="1"/>
  <c r="I175" i="7" s="1"/>
  <c r="O61" i="1"/>
  <c r="H115" i="7" s="1"/>
  <c r="O71" i="1"/>
  <c r="H130" i="7" s="1"/>
  <c r="O77" i="1"/>
  <c r="H139" i="7" s="1"/>
  <c r="O81" i="1"/>
  <c r="O101" i="1"/>
  <c r="H175" i="7" s="1"/>
  <c r="K166" i="7" l="1"/>
  <c r="H145" i="7"/>
  <c r="K157" i="7"/>
  <c r="Q101" i="1"/>
  <c r="Q61" i="1"/>
  <c r="K112" i="7"/>
  <c r="P7" i="1"/>
  <c r="K78" i="7"/>
  <c r="H128" i="7"/>
  <c r="H129" i="7"/>
  <c r="H137" i="7"/>
  <c r="H138" i="7"/>
  <c r="H140" i="7"/>
  <c r="H75" i="7"/>
  <c r="I75" i="7"/>
  <c r="K75" i="7"/>
  <c r="H68" i="7"/>
  <c r="K68" i="7"/>
  <c r="H69" i="7"/>
  <c r="K69" i="7"/>
  <c r="H71" i="7"/>
  <c r="I71" i="7"/>
  <c r="K71" i="7"/>
  <c r="H72" i="7"/>
  <c r="I72" i="7"/>
  <c r="K72" i="7"/>
  <c r="H74" i="7"/>
  <c r="I74" i="7"/>
  <c r="K74" i="7"/>
  <c r="H42" i="7"/>
  <c r="I42" i="7"/>
  <c r="K42" i="7"/>
  <c r="N42" i="7"/>
  <c r="H44" i="7"/>
  <c r="K44" i="7"/>
  <c r="H45" i="7"/>
  <c r="I45" i="7"/>
  <c r="K45" i="7"/>
  <c r="L45" i="7"/>
  <c r="H47" i="7"/>
  <c r="I47" i="7"/>
  <c r="K47" i="7"/>
  <c r="H48" i="7"/>
  <c r="I48" i="7"/>
  <c r="K48" i="7"/>
  <c r="H50" i="7"/>
  <c r="I50" i="7"/>
  <c r="K50" i="7"/>
  <c r="H51" i="7"/>
  <c r="I51" i="7"/>
  <c r="K51" i="7"/>
  <c r="H53" i="7"/>
  <c r="I53" i="7"/>
  <c r="K53" i="7"/>
  <c r="H54" i="7"/>
  <c r="I54" i="7"/>
  <c r="K54" i="7"/>
  <c r="H56" i="7"/>
  <c r="I56" i="7"/>
  <c r="K56" i="7"/>
  <c r="H57" i="7"/>
  <c r="I57" i="7"/>
  <c r="K57" i="7"/>
  <c r="H59" i="7"/>
  <c r="I59" i="7"/>
  <c r="K59" i="7"/>
  <c r="H60" i="7"/>
  <c r="I60" i="7"/>
  <c r="K60" i="7"/>
  <c r="H62" i="7"/>
  <c r="I62" i="7"/>
  <c r="K62" i="7"/>
  <c r="H63" i="7"/>
  <c r="I63" i="7"/>
  <c r="K63" i="7"/>
  <c r="H65" i="7"/>
  <c r="I65" i="7"/>
  <c r="K65" i="7"/>
  <c r="H66" i="7"/>
  <c r="I66" i="7"/>
  <c r="K66" i="7"/>
  <c r="I41" i="7"/>
  <c r="K41" i="7"/>
  <c r="N41" i="7"/>
  <c r="H41" i="7"/>
  <c r="T101" i="1" l="1"/>
  <c r="M175" i="7" s="1"/>
  <c r="J175" i="7"/>
  <c r="S101" i="1"/>
  <c r="L175" i="7" s="1"/>
  <c r="J115" i="7"/>
  <c r="S61" i="1"/>
  <c r="L115" i="7" s="1"/>
  <c r="T61" i="1"/>
  <c r="M115" i="7" s="1"/>
  <c r="H27" i="7" l="1"/>
  <c r="I27" i="7"/>
  <c r="K27" i="7"/>
  <c r="H29" i="7"/>
  <c r="I29" i="7"/>
  <c r="K29" i="7"/>
  <c r="H30" i="7"/>
  <c r="I30" i="7"/>
  <c r="K30" i="7"/>
  <c r="H32" i="7"/>
  <c r="I32" i="7"/>
  <c r="K32" i="7"/>
  <c r="H33" i="7"/>
  <c r="I33" i="7"/>
  <c r="K33" i="7"/>
  <c r="H35" i="7"/>
  <c r="I35" i="7"/>
  <c r="K35" i="7"/>
  <c r="H36" i="7"/>
  <c r="I36" i="7"/>
  <c r="K36" i="7"/>
  <c r="H38" i="7"/>
  <c r="I38" i="7"/>
  <c r="K38" i="7"/>
  <c r="H39" i="7"/>
  <c r="I39" i="7"/>
  <c r="K39" i="7"/>
  <c r="I26" i="7"/>
  <c r="K26" i="7"/>
  <c r="H26" i="7"/>
  <c r="M25" i="7"/>
  <c r="H3" i="7"/>
  <c r="I3" i="7"/>
  <c r="K3" i="7"/>
  <c r="H5" i="7"/>
  <c r="I5" i="7"/>
  <c r="H6" i="7"/>
  <c r="I6" i="7"/>
  <c r="K6" i="7"/>
  <c r="H8" i="7"/>
  <c r="I8" i="7"/>
  <c r="K8" i="7"/>
  <c r="H9" i="7"/>
  <c r="I9" i="7"/>
  <c r="K9" i="7"/>
  <c r="H11" i="7"/>
  <c r="I11" i="7"/>
  <c r="K11" i="7"/>
  <c r="H12" i="7"/>
  <c r="I12" i="7"/>
  <c r="K12" i="7"/>
  <c r="H14" i="7"/>
  <c r="I14" i="7"/>
  <c r="H15" i="7"/>
  <c r="I15" i="7"/>
  <c r="K15" i="7"/>
  <c r="H17" i="7"/>
  <c r="I17" i="7"/>
  <c r="K17" i="7"/>
  <c r="H18" i="7"/>
  <c r="I18" i="7"/>
  <c r="K18" i="7"/>
  <c r="H20" i="7"/>
  <c r="I20" i="7"/>
  <c r="K20" i="7"/>
  <c r="H21" i="7"/>
  <c r="I21" i="7"/>
  <c r="K21" i="7"/>
  <c r="H23" i="7"/>
  <c r="I23" i="7"/>
  <c r="K23" i="7"/>
  <c r="M23" i="7"/>
  <c r="H24" i="7"/>
  <c r="I24" i="7"/>
  <c r="K24" i="7"/>
  <c r="M24" i="7"/>
  <c r="I2" i="7"/>
  <c r="K2" i="7"/>
  <c r="H2" i="7"/>
  <c r="H15" i="2" l="1"/>
  <c r="K14" i="7" s="1"/>
  <c r="E6" i="3" l="1"/>
  <c r="I279" i="7" l="1"/>
  <c r="Z32" i="2" l="1"/>
  <c r="W33" i="2"/>
  <c r="W32" i="2"/>
  <c r="I78" i="7" l="1"/>
  <c r="H33" i="1"/>
  <c r="H32" i="1"/>
  <c r="E33" i="1"/>
  <c r="E20" i="3" l="1"/>
  <c r="W10" i="2"/>
  <c r="E19" i="3" s="1"/>
  <c r="W9" i="2"/>
  <c r="I98" i="1" l="1"/>
  <c r="I168" i="7" s="1"/>
  <c r="I97" i="1"/>
  <c r="I240" i="7"/>
  <c r="AU45" i="1"/>
  <c r="I282" i="7"/>
  <c r="BO41" i="1"/>
  <c r="L9" i="2"/>
  <c r="I7" i="7" s="1"/>
  <c r="AU40" i="1"/>
  <c r="I231" i="7" s="1"/>
  <c r="AU39" i="1"/>
  <c r="I192" i="7"/>
  <c r="AB47" i="1"/>
  <c r="BO39" i="1"/>
  <c r="I129" i="7"/>
  <c r="L15" i="2"/>
  <c r="I16" i="7" s="1"/>
  <c r="I76" i="1"/>
  <c r="I135" i="7" s="1"/>
  <c r="I75" i="1"/>
  <c r="AB54" i="1"/>
  <c r="I201" i="7" s="1"/>
  <c r="I96" i="1"/>
  <c r="I165" i="7" s="1"/>
  <c r="I120" i="7"/>
  <c r="I153" i="7"/>
  <c r="I92" i="1"/>
  <c r="I159" i="7" s="1"/>
  <c r="I91" i="1"/>
  <c r="I96" i="7"/>
  <c r="I81" i="1"/>
  <c r="I123" i="7"/>
  <c r="I327" i="7"/>
  <c r="I108" i="7"/>
  <c r="I84" i="1"/>
  <c r="I147" i="7" s="1"/>
  <c r="I83" i="1"/>
  <c r="AU53" i="1"/>
  <c r="I94" i="1"/>
  <c r="I162" i="7" s="1"/>
  <c r="I93" i="1"/>
  <c r="I86" i="1"/>
  <c r="I150" i="7" s="1"/>
  <c r="I85" i="1"/>
  <c r="BO66" i="1"/>
  <c r="I318" i="7" s="1"/>
  <c r="BO65" i="1"/>
  <c r="BO62" i="1"/>
  <c r="I312" i="7" s="1"/>
  <c r="BO61" i="1"/>
  <c r="BO60" i="1"/>
  <c r="BO58" i="1"/>
  <c r="I306" i="7" s="1"/>
  <c r="BO57" i="1"/>
  <c r="BO56" i="1"/>
  <c r="I303" i="7" s="1"/>
  <c r="BO55" i="1"/>
  <c r="BO52" i="1"/>
  <c r="I297" i="7" s="1"/>
  <c r="BO51" i="1"/>
  <c r="AB65" i="1"/>
  <c r="AB64" i="1"/>
  <c r="I216" i="7" s="1"/>
  <c r="AB63" i="1"/>
  <c r="AB62" i="1"/>
  <c r="I213" i="7" s="1"/>
  <c r="AB61" i="1"/>
  <c r="AB60" i="1"/>
  <c r="I210" i="7" s="1"/>
  <c r="AB59" i="1"/>
  <c r="AB58" i="1"/>
  <c r="I207" i="7" s="1"/>
  <c r="AB57" i="1"/>
  <c r="I204" i="7"/>
  <c r="AB55" i="1"/>
  <c r="AB50" i="1"/>
  <c r="I195" i="7" s="1"/>
  <c r="AB49" i="1"/>
  <c r="AB46" i="1"/>
  <c r="I189" i="7" s="1"/>
  <c r="AB45" i="1"/>
  <c r="I183" i="7"/>
  <c r="AB41" i="1"/>
  <c r="AB40" i="1"/>
  <c r="I180" i="7" s="1"/>
  <c r="AB39" i="1"/>
  <c r="AB38" i="1"/>
  <c r="I177" i="7" s="1"/>
  <c r="AB37" i="1"/>
  <c r="I80" i="1"/>
  <c r="I141" i="7" s="1"/>
  <c r="I79" i="1"/>
  <c r="I78" i="1"/>
  <c r="I74" i="1"/>
  <c r="I132" i="7" s="1"/>
  <c r="I73" i="1"/>
  <c r="I126" i="7"/>
  <c r="I117" i="7"/>
  <c r="H9" i="2"/>
  <c r="H20" i="3"/>
  <c r="E18" i="3"/>
  <c r="H9" i="4"/>
  <c r="I9" i="4" s="1"/>
  <c r="H8" i="4"/>
  <c r="AU72" i="1"/>
  <c r="AU71" i="1"/>
  <c r="AT59" i="1"/>
  <c r="AT60" i="1"/>
  <c r="H261" i="7" s="1"/>
  <c r="X33" i="2"/>
  <c r="F21" i="3" s="1"/>
  <c r="Z10" i="2"/>
  <c r="H19" i="3" s="1"/>
  <c r="N38" i="2"/>
  <c r="K40" i="7" s="1"/>
  <c r="L38" i="2"/>
  <c r="I40" i="7" s="1"/>
  <c r="K38" i="2"/>
  <c r="H40" i="7" s="1"/>
  <c r="G38" i="2"/>
  <c r="N36" i="2"/>
  <c r="K37" i="7" s="1"/>
  <c r="L36" i="2"/>
  <c r="I37" i="7" s="1"/>
  <c r="K36" i="2"/>
  <c r="H37" i="7" s="1"/>
  <c r="G36" i="2"/>
  <c r="N34" i="2"/>
  <c r="K34" i="7" s="1"/>
  <c r="L34" i="2"/>
  <c r="I34" i="7" s="1"/>
  <c r="K34" i="2"/>
  <c r="H34" i="7" s="1"/>
  <c r="G34" i="2"/>
  <c r="Z33" i="2"/>
  <c r="H21" i="3" s="1"/>
  <c r="E21" i="3"/>
  <c r="D13" i="6" s="1"/>
  <c r="X32" i="2"/>
  <c r="F20" i="3" s="1"/>
  <c r="N32" i="2"/>
  <c r="K31" i="7" s="1"/>
  <c r="L32" i="2"/>
  <c r="I31" i="7" s="1"/>
  <c r="K32" i="2"/>
  <c r="H31" i="7" s="1"/>
  <c r="G32" i="2"/>
  <c r="N30" i="2"/>
  <c r="K28" i="7" s="1"/>
  <c r="L30" i="2"/>
  <c r="I28" i="7" s="1"/>
  <c r="K30" i="2"/>
  <c r="H28" i="7" s="1"/>
  <c r="G30" i="2"/>
  <c r="N23" i="2"/>
  <c r="K25" i="7" s="1"/>
  <c r="L23" i="2"/>
  <c r="I25" i="7" s="1"/>
  <c r="K23" i="2"/>
  <c r="H25" i="7" s="1"/>
  <c r="G23" i="2"/>
  <c r="N19" i="2"/>
  <c r="K22" i="7" s="1"/>
  <c r="L19" i="2"/>
  <c r="I22" i="7" s="1"/>
  <c r="K19" i="2"/>
  <c r="H22" i="7" s="1"/>
  <c r="G19" i="2"/>
  <c r="N17" i="2"/>
  <c r="K19" i="7" s="1"/>
  <c r="L17" i="2"/>
  <c r="I19" i="7" s="1"/>
  <c r="K17" i="2"/>
  <c r="H19" i="7" s="1"/>
  <c r="G17" i="2"/>
  <c r="N15" i="2"/>
  <c r="K16" i="7" s="1"/>
  <c r="K15" i="2"/>
  <c r="H16" i="7" s="1"/>
  <c r="N13" i="2"/>
  <c r="K13" i="7" s="1"/>
  <c r="L13" i="2"/>
  <c r="I13" i="7" s="1"/>
  <c r="K13" i="2"/>
  <c r="H13" i="7" s="1"/>
  <c r="G13" i="2"/>
  <c r="K10" i="7"/>
  <c r="L11" i="2"/>
  <c r="K11" i="2"/>
  <c r="H10" i="7" s="1"/>
  <c r="K9" i="2"/>
  <c r="H7" i="7" s="1"/>
  <c r="G9" i="2"/>
  <c r="J5" i="7" s="1"/>
  <c r="N7" i="2"/>
  <c r="K4" i="7" s="1"/>
  <c r="K7" i="2"/>
  <c r="H4" i="7" s="1"/>
  <c r="I10" i="7" l="1"/>
  <c r="M11" i="2"/>
  <c r="I107" i="7"/>
  <c r="P57" i="1"/>
  <c r="I109" i="7" s="1"/>
  <c r="I80" i="7"/>
  <c r="P39" i="1"/>
  <c r="I82" i="7" s="1"/>
  <c r="I281" i="7"/>
  <c r="BV41" i="1"/>
  <c r="I283" i="7" s="1"/>
  <c r="I185" i="7"/>
  <c r="AI43" i="1"/>
  <c r="I187" i="7" s="1"/>
  <c r="J34" i="2"/>
  <c r="M32" i="7" s="1"/>
  <c r="J32" i="7"/>
  <c r="J36" i="2"/>
  <c r="M35" i="7" s="1"/>
  <c r="J35" i="7"/>
  <c r="J38" i="2"/>
  <c r="M38" i="7" s="1"/>
  <c r="J38" i="7"/>
  <c r="D12" i="6"/>
  <c r="H329" i="7"/>
  <c r="AB71" i="1"/>
  <c r="AI37" i="1"/>
  <c r="I178" i="7" s="1"/>
  <c r="I176" i="7"/>
  <c r="AI41" i="1"/>
  <c r="I184" i="7" s="1"/>
  <c r="I182" i="7"/>
  <c r="AI49" i="1"/>
  <c r="I196" i="7" s="1"/>
  <c r="I194" i="7"/>
  <c r="AI57" i="1"/>
  <c r="I208" i="7" s="1"/>
  <c r="I206" i="7"/>
  <c r="I212" i="7"/>
  <c r="AI61" i="1"/>
  <c r="I214" i="7" s="1"/>
  <c r="AI65" i="1"/>
  <c r="I218" i="7"/>
  <c r="BV61" i="1"/>
  <c r="I313" i="7" s="1"/>
  <c r="I311" i="7"/>
  <c r="I149" i="7"/>
  <c r="P85" i="1"/>
  <c r="I151" i="7" s="1"/>
  <c r="I251" i="7"/>
  <c r="BB53" i="1"/>
  <c r="I253" i="7" s="1"/>
  <c r="I93" i="7"/>
  <c r="H105" i="1"/>
  <c r="I158" i="7"/>
  <c r="P91" i="1"/>
  <c r="I160" i="7" s="1"/>
  <c r="I119" i="7"/>
  <c r="P65" i="1"/>
  <c r="I121" i="7" s="1"/>
  <c r="AI53" i="1"/>
  <c r="I202" i="7" s="1"/>
  <c r="I200" i="7"/>
  <c r="F31" i="1"/>
  <c r="AU69" i="1"/>
  <c r="I230" i="7"/>
  <c r="BB39" i="1"/>
  <c r="I232" i="7" s="1"/>
  <c r="I167" i="7"/>
  <c r="P97" i="1"/>
  <c r="I169" i="7" s="1"/>
  <c r="AV59" i="1"/>
  <c r="J260" i="7" s="1"/>
  <c r="H260" i="7"/>
  <c r="BA59" i="1"/>
  <c r="I131" i="7"/>
  <c r="P73" i="1"/>
  <c r="I133" i="7" s="1"/>
  <c r="I302" i="7"/>
  <c r="BV55" i="1"/>
  <c r="BV59" i="1"/>
  <c r="I310" i="7" s="1"/>
  <c r="I309" i="7"/>
  <c r="I122" i="7"/>
  <c r="P67" i="1"/>
  <c r="I124" i="7" s="1"/>
  <c r="BO69" i="1"/>
  <c r="BV39" i="1"/>
  <c r="I280" i="7" s="1"/>
  <c r="I278" i="7"/>
  <c r="I30" i="2"/>
  <c r="L26" i="7" s="1"/>
  <c r="J26" i="7"/>
  <c r="Y32" i="2"/>
  <c r="I330" i="7"/>
  <c r="I125" i="7"/>
  <c r="P69" i="1"/>
  <c r="I127" i="7" s="1"/>
  <c r="I138" i="7"/>
  <c r="P77" i="1"/>
  <c r="I296" i="7"/>
  <c r="BV51" i="1"/>
  <c r="I298" i="7" s="1"/>
  <c r="I305" i="7"/>
  <c r="BV57" i="1"/>
  <c r="I307" i="7" s="1"/>
  <c r="I146" i="7"/>
  <c r="P83" i="1"/>
  <c r="I148" i="7" s="1"/>
  <c r="H104" i="1"/>
  <c r="I103" i="1"/>
  <c r="I77" i="7"/>
  <c r="P37" i="1"/>
  <c r="I79" i="7" s="1"/>
  <c r="I95" i="7"/>
  <c r="P49" i="1"/>
  <c r="I97" i="7" s="1"/>
  <c r="I128" i="7"/>
  <c r="P71" i="1"/>
  <c r="I239" i="7"/>
  <c r="BB45" i="1"/>
  <c r="I241" i="7" s="1"/>
  <c r="I116" i="7"/>
  <c r="P63" i="1"/>
  <c r="I118" i="7" s="1"/>
  <c r="I92" i="7"/>
  <c r="P47" i="1"/>
  <c r="I94" i="7" s="1"/>
  <c r="J17" i="2"/>
  <c r="M17" i="7" s="1"/>
  <c r="J17" i="7"/>
  <c r="J32" i="2"/>
  <c r="M29" i="7" s="1"/>
  <c r="J29" i="7"/>
  <c r="J8" i="4"/>
  <c r="M334" i="7" s="1"/>
  <c r="K334" i="7"/>
  <c r="Z9" i="2"/>
  <c r="H18" i="3" s="1"/>
  <c r="G12" i="6" s="1"/>
  <c r="K5" i="7"/>
  <c r="I140" i="7"/>
  <c r="P79" i="1"/>
  <c r="I142" i="7" s="1"/>
  <c r="I179" i="7"/>
  <c r="AI39" i="1"/>
  <c r="I181" i="7" s="1"/>
  <c r="I188" i="7"/>
  <c r="AI45" i="1"/>
  <c r="I190" i="7" s="1"/>
  <c r="AI55" i="1"/>
  <c r="I205" i="7" s="1"/>
  <c r="I203" i="7"/>
  <c r="AI59" i="1"/>
  <c r="I211" i="7" s="1"/>
  <c r="I209" i="7"/>
  <c r="I215" i="7"/>
  <c r="AI63" i="1"/>
  <c r="I217" i="7" s="1"/>
  <c r="I317" i="7"/>
  <c r="BV65" i="1"/>
  <c r="I319" i="7" s="1"/>
  <c r="I161" i="7"/>
  <c r="P93" i="1"/>
  <c r="I163" i="7" s="1"/>
  <c r="I143" i="7"/>
  <c r="P81" i="1"/>
  <c r="I152" i="7"/>
  <c r="P87" i="1"/>
  <c r="I154" i="7" s="1"/>
  <c r="I164" i="7"/>
  <c r="P95" i="1"/>
  <c r="I166" i="7" s="1"/>
  <c r="I134" i="7"/>
  <c r="P75" i="1"/>
  <c r="I136" i="7" s="1"/>
  <c r="I191" i="7"/>
  <c r="AI47" i="1"/>
  <c r="I193" i="7" s="1"/>
  <c r="H330" i="7"/>
  <c r="I23" i="2"/>
  <c r="J23" i="7"/>
  <c r="M20" i="7"/>
  <c r="J20" i="7"/>
  <c r="K330" i="7"/>
  <c r="J11" i="2"/>
  <c r="M8" i="7" s="1"/>
  <c r="J8" i="7"/>
  <c r="J13" i="2"/>
  <c r="M11" i="7" s="1"/>
  <c r="J11" i="7"/>
  <c r="F33" i="1"/>
  <c r="G33" i="1" s="1"/>
  <c r="I69" i="7"/>
  <c r="G32" i="1"/>
  <c r="I32" i="1" s="1"/>
  <c r="I44" i="7"/>
  <c r="G25" i="1"/>
  <c r="J25" i="1" s="1"/>
  <c r="I68" i="7"/>
  <c r="AS72" i="1"/>
  <c r="J9" i="2"/>
  <c r="M5" i="7" s="1"/>
  <c r="G7" i="2"/>
  <c r="X9" i="2"/>
  <c r="F18" i="3" s="1"/>
  <c r="L7" i="2"/>
  <c r="G15" i="2"/>
  <c r="I15" i="2" s="1"/>
  <c r="X10" i="2"/>
  <c r="F19" i="3" s="1"/>
  <c r="E13" i="6"/>
  <c r="F13" i="6" s="1"/>
  <c r="M34" i="2"/>
  <c r="J34" i="7" s="1"/>
  <c r="I8" i="4"/>
  <c r="L334" i="7" s="1"/>
  <c r="AS71" i="1"/>
  <c r="G13" i="6"/>
  <c r="Z11" i="2"/>
  <c r="Z34" i="2"/>
  <c r="M36" i="2"/>
  <c r="M32" i="2"/>
  <c r="M9" i="2"/>
  <c r="J7" i="7" s="1"/>
  <c r="N9" i="2"/>
  <c r="K7" i="7" s="1"/>
  <c r="J9" i="4"/>
  <c r="AY59" i="1"/>
  <c r="M260" i="7" s="1"/>
  <c r="I36" i="2"/>
  <c r="I9" i="2"/>
  <c r="M13" i="2"/>
  <c r="M15" i="2"/>
  <c r="M17" i="2"/>
  <c r="M19" i="2"/>
  <c r="M22" i="7" s="1"/>
  <c r="M23" i="2"/>
  <c r="I32" i="2"/>
  <c r="I34" i="2"/>
  <c r="M38" i="2"/>
  <c r="I11" i="2"/>
  <c r="I13" i="2"/>
  <c r="I17" i="2"/>
  <c r="I19" i="2"/>
  <c r="J30" i="2"/>
  <c r="M26" i="7" s="1"/>
  <c r="I38" i="2"/>
  <c r="M30" i="2"/>
  <c r="J28" i="7" s="1"/>
  <c r="G31" i="2"/>
  <c r="J27" i="7" s="1"/>
  <c r="K329" i="7" l="1"/>
  <c r="L8" i="7"/>
  <c r="G12" i="2"/>
  <c r="I12" i="2" s="1"/>
  <c r="I13" i="6"/>
  <c r="H13" i="6"/>
  <c r="AX59" i="1"/>
  <c r="L260" i="7" s="1"/>
  <c r="G10" i="2"/>
  <c r="J6" i="7" s="1"/>
  <c r="L5" i="7"/>
  <c r="O32" i="2"/>
  <c r="L31" i="7" s="1"/>
  <c r="J31" i="7"/>
  <c r="I139" i="7"/>
  <c r="Q77" i="1"/>
  <c r="G33" i="2"/>
  <c r="L29" i="7"/>
  <c r="G37" i="2"/>
  <c r="L35" i="7"/>
  <c r="O36" i="2"/>
  <c r="L37" i="7" s="1"/>
  <c r="J37" i="7"/>
  <c r="O17" i="2"/>
  <c r="L19" i="7" s="1"/>
  <c r="J19" i="7"/>
  <c r="I220" i="7"/>
  <c r="P34" i="2"/>
  <c r="M34" i="7" s="1"/>
  <c r="G18" i="2"/>
  <c r="J18" i="7" s="1"/>
  <c r="L17" i="7"/>
  <c r="P32" i="2"/>
  <c r="M31" i="7" s="1"/>
  <c r="O34" i="2"/>
  <c r="L34" i="7" s="1"/>
  <c r="I145" i="7"/>
  <c r="Q81" i="1"/>
  <c r="I130" i="7"/>
  <c r="Q71" i="1"/>
  <c r="G39" i="2"/>
  <c r="J39" i="7" s="1"/>
  <c r="L38" i="7"/>
  <c r="O38" i="2"/>
  <c r="L40" i="7" s="1"/>
  <c r="J40" i="7"/>
  <c r="I304" i="7"/>
  <c r="BW55" i="1"/>
  <c r="H262" i="7"/>
  <c r="BC59" i="1"/>
  <c r="AV60" i="1"/>
  <c r="J261" i="7" s="1"/>
  <c r="O23" i="2"/>
  <c r="L25" i="7" s="1"/>
  <c r="J25" i="7"/>
  <c r="G24" i="2"/>
  <c r="L23" i="7"/>
  <c r="I329" i="7"/>
  <c r="G20" i="2"/>
  <c r="J21" i="7" s="1"/>
  <c r="L20" i="7"/>
  <c r="O19" i="2"/>
  <c r="L22" i="7" s="1"/>
  <c r="J22" i="7"/>
  <c r="J15" i="2"/>
  <c r="M14" i="7" s="1"/>
  <c r="J14" i="7"/>
  <c r="G16" i="2"/>
  <c r="J15" i="7" s="1"/>
  <c r="L14" i="7"/>
  <c r="O15" i="2"/>
  <c r="L16" i="7" s="1"/>
  <c r="J16" i="7"/>
  <c r="G35" i="2"/>
  <c r="I35" i="2" s="1"/>
  <c r="L33" i="7" s="1"/>
  <c r="L32" i="7"/>
  <c r="O11" i="2"/>
  <c r="L10" i="7" s="1"/>
  <c r="J10" i="7"/>
  <c r="O13" i="2"/>
  <c r="L13" i="7" s="1"/>
  <c r="J13" i="7"/>
  <c r="G14" i="2"/>
  <c r="J12" i="7" s="1"/>
  <c r="L11" i="7"/>
  <c r="M7" i="2"/>
  <c r="J4" i="7" s="1"/>
  <c r="I4" i="7"/>
  <c r="Y9" i="2"/>
  <c r="G18" i="3" s="1"/>
  <c r="J2" i="7"/>
  <c r="M68" i="7"/>
  <c r="J68" i="7"/>
  <c r="J7" i="2"/>
  <c r="M2" i="7" s="1"/>
  <c r="I7" i="2"/>
  <c r="G8" i="2" s="1"/>
  <c r="E12" i="6"/>
  <c r="F12" i="6" s="1"/>
  <c r="P11" i="2"/>
  <c r="M10" i="7" s="1"/>
  <c r="P38" i="2"/>
  <c r="M40" i="7" s="1"/>
  <c r="P36" i="2"/>
  <c r="M37" i="7" s="1"/>
  <c r="AA32" i="2"/>
  <c r="G20" i="3"/>
  <c r="P17" i="2"/>
  <c r="M19" i="7" s="1"/>
  <c r="I33" i="2"/>
  <c r="L30" i="7" s="1"/>
  <c r="J37" i="2"/>
  <c r="M36" i="7" s="1"/>
  <c r="P13" i="2"/>
  <c r="M13" i="7" s="1"/>
  <c r="O9" i="2"/>
  <c r="L7" i="7" s="1"/>
  <c r="P9" i="2"/>
  <c r="M7" i="7" s="1"/>
  <c r="P15" i="2"/>
  <c r="M16" i="7" s="1"/>
  <c r="O30" i="2"/>
  <c r="L28" i="7" s="1"/>
  <c r="I18" i="2"/>
  <c r="L18" i="7" s="1"/>
  <c r="I14" i="2"/>
  <c r="L12" i="7" s="1"/>
  <c r="J31" i="2"/>
  <c r="M27" i="7" s="1"/>
  <c r="I31" i="2"/>
  <c r="L27" i="7" s="1"/>
  <c r="I39" i="2"/>
  <c r="L39" i="7" s="1"/>
  <c r="J39" i="2"/>
  <c r="M39" i="7" s="1"/>
  <c r="I20" i="2"/>
  <c r="L21" i="7" s="1"/>
  <c r="M21" i="7"/>
  <c r="P30" i="2"/>
  <c r="M28" i="7" s="1"/>
  <c r="AB32" i="2"/>
  <c r="J18" i="2" l="1"/>
  <c r="M18" i="7" s="1"/>
  <c r="J14" i="2"/>
  <c r="M12" i="7" s="1"/>
  <c r="J10" i="2"/>
  <c r="M6" i="7" s="1"/>
  <c r="I10" i="2"/>
  <c r="L6" i="7" s="1"/>
  <c r="I12" i="6"/>
  <c r="H12" i="6"/>
  <c r="AX60" i="1"/>
  <c r="L261" i="7" s="1"/>
  <c r="J304" i="7"/>
  <c r="BY55" i="1"/>
  <c r="L304" i="7" s="1"/>
  <c r="BZ55" i="1"/>
  <c r="M304" i="7" s="1"/>
  <c r="J145" i="7"/>
  <c r="S81" i="1"/>
  <c r="L145" i="7" s="1"/>
  <c r="T81" i="1"/>
  <c r="M145" i="7" s="1"/>
  <c r="J33" i="2"/>
  <c r="M30" i="7" s="1"/>
  <c r="J30" i="7"/>
  <c r="S77" i="1"/>
  <c r="L139" i="7" s="1"/>
  <c r="T77" i="1"/>
  <c r="M139" i="7" s="1"/>
  <c r="J139" i="7"/>
  <c r="AY60" i="1"/>
  <c r="M261" i="7" s="1"/>
  <c r="J262" i="7"/>
  <c r="BE59" i="1"/>
  <c r="L262" i="7" s="1"/>
  <c r="BF59" i="1"/>
  <c r="M262" i="7" s="1"/>
  <c r="J130" i="7"/>
  <c r="S71" i="1"/>
  <c r="L130" i="7" s="1"/>
  <c r="I37" i="2"/>
  <c r="L36" i="7" s="1"/>
  <c r="J36" i="7"/>
  <c r="AA9" i="2"/>
  <c r="P7" i="2"/>
  <c r="M4" i="7" s="1"/>
  <c r="O7" i="2"/>
  <c r="L4" i="7" s="1"/>
  <c r="I24" i="2"/>
  <c r="L24" i="7" s="1"/>
  <c r="J24" i="7"/>
  <c r="J16" i="2"/>
  <c r="M15" i="7" s="1"/>
  <c r="I16" i="2"/>
  <c r="L15" i="7" s="1"/>
  <c r="AB9" i="2"/>
  <c r="J35" i="2"/>
  <c r="M33" i="7" s="1"/>
  <c r="J33" i="7"/>
  <c r="Y33" i="2"/>
  <c r="G21" i="3" s="1"/>
  <c r="J330" i="7" s="1"/>
  <c r="L2" i="7"/>
  <c r="J9" i="7"/>
  <c r="L9" i="7"/>
  <c r="I20" i="3"/>
  <c r="J20" i="3"/>
  <c r="I18" i="3"/>
  <c r="J18" i="3"/>
  <c r="J12" i="2"/>
  <c r="M9" i="7" s="1"/>
  <c r="AA33" i="2" l="1"/>
  <c r="I21" i="3"/>
  <c r="L330" i="7" s="1"/>
  <c r="AB33" i="2"/>
  <c r="J21" i="3"/>
  <c r="M330" i="7" s="1"/>
  <c r="Y10" i="2"/>
  <c r="G19" i="3" s="1"/>
  <c r="I8" i="2"/>
  <c r="L3" i="7" s="1"/>
  <c r="J3" i="7"/>
  <c r="J8" i="2"/>
  <c r="M3" i="7" s="1"/>
  <c r="H17" i="3"/>
  <c r="H16" i="3"/>
  <c r="F17" i="3"/>
  <c r="E17" i="3"/>
  <c r="E16" i="3"/>
  <c r="H6" i="3"/>
  <c r="H37" i="1"/>
  <c r="I19" i="3" l="1"/>
  <c r="L329" i="7" s="1"/>
  <c r="J329" i="7"/>
  <c r="J19" i="3"/>
  <c r="M329" i="7" s="1"/>
  <c r="AA10" i="2"/>
  <c r="AB10" i="2"/>
  <c r="J37" i="1"/>
  <c r="H77" i="7"/>
  <c r="D11" i="6"/>
  <c r="H333" i="7" s="1"/>
  <c r="G11" i="6"/>
  <c r="K333" i="7" s="1"/>
  <c r="M37" i="1" l="1"/>
  <c r="M77" i="7" s="1"/>
  <c r="J77" i="7"/>
  <c r="L37" i="1"/>
  <c r="L77" i="7" l="1"/>
  <c r="H174" i="7"/>
  <c r="H100" i="1"/>
  <c r="H171" i="7" s="1"/>
  <c r="H99" i="1"/>
  <c r="H98" i="1"/>
  <c r="H168" i="7" s="1"/>
  <c r="H97" i="1"/>
  <c r="H96" i="1"/>
  <c r="H165" i="7" s="1"/>
  <c r="H95" i="1"/>
  <c r="H94" i="1"/>
  <c r="H162" i="7" s="1"/>
  <c r="H93" i="1"/>
  <c r="H92" i="1"/>
  <c r="H159" i="7" s="1"/>
  <c r="H91" i="1"/>
  <c r="H90" i="1"/>
  <c r="H156" i="7" s="1"/>
  <c r="H89" i="1"/>
  <c r="H88" i="1"/>
  <c r="H153" i="7" s="1"/>
  <c r="H87" i="1"/>
  <c r="H86" i="1"/>
  <c r="H150" i="7" s="1"/>
  <c r="H85" i="1"/>
  <c r="H84" i="1"/>
  <c r="H147" i="7" s="1"/>
  <c r="H83" i="1"/>
  <c r="H144" i="7"/>
  <c r="H80" i="1"/>
  <c r="J79" i="1"/>
  <c r="J140" i="7" s="1"/>
  <c r="J77" i="1"/>
  <c r="J137" i="7" s="1"/>
  <c r="H76" i="1"/>
  <c r="H135" i="7" s="1"/>
  <c r="H75" i="1"/>
  <c r="AC74" i="1"/>
  <c r="H11" i="3" s="1"/>
  <c r="AA74" i="1"/>
  <c r="F11" i="3" s="1"/>
  <c r="H74" i="1"/>
  <c r="H132" i="7" s="1"/>
  <c r="AC73" i="1"/>
  <c r="H10" i="3" s="1"/>
  <c r="AA73" i="1"/>
  <c r="F10" i="3" s="1"/>
  <c r="H73" i="1"/>
  <c r="O73" i="1" s="1"/>
  <c r="BN72" i="1"/>
  <c r="H15" i="3" s="1"/>
  <c r="BL72" i="1"/>
  <c r="F15" i="3" s="1"/>
  <c r="BN71" i="1"/>
  <c r="H14" i="3" s="1"/>
  <c r="BL71" i="1"/>
  <c r="F14" i="3" s="1"/>
  <c r="J71" i="1"/>
  <c r="J128" i="7" s="1"/>
  <c r="H13" i="3"/>
  <c r="F13" i="3"/>
  <c r="AA70" i="1"/>
  <c r="H225" i="7" s="1"/>
  <c r="H70" i="1"/>
  <c r="H126" i="7" s="1"/>
  <c r="H12" i="3"/>
  <c r="F12" i="3"/>
  <c r="AA69" i="1"/>
  <c r="H69" i="1"/>
  <c r="O69" i="1" s="1"/>
  <c r="AA68" i="1"/>
  <c r="H222" i="7" s="1"/>
  <c r="H68" i="1"/>
  <c r="H123" i="7" s="1"/>
  <c r="BP67" i="1"/>
  <c r="BR67" i="1" s="1"/>
  <c r="AA67" i="1"/>
  <c r="H67" i="1"/>
  <c r="BN66" i="1"/>
  <c r="H318" i="7" s="1"/>
  <c r="AT68" i="1"/>
  <c r="H273" i="7" s="1"/>
  <c r="AA66" i="1"/>
  <c r="H219" i="7" s="1"/>
  <c r="H66" i="1"/>
  <c r="H120" i="7" s="1"/>
  <c r="BN65" i="1"/>
  <c r="AT67" i="1"/>
  <c r="AA65" i="1"/>
  <c r="H65" i="1"/>
  <c r="O65" i="1" s="1"/>
  <c r="AT66" i="1"/>
  <c r="H270" i="7" s="1"/>
  <c r="AA64" i="1"/>
  <c r="H216" i="7" s="1"/>
  <c r="H64" i="1"/>
  <c r="H117" i="7" s="1"/>
  <c r="BP63" i="1"/>
  <c r="J314" i="7" s="1"/>
  <c r="AT65" i="1"/>
  <c r="AA63" i="1"/>
  <c r="H63" i="1"/>
  <c r="O63" i="1" s="1"/>
  <c r="BN62" i="1"/>
  <c r="H312" i="7" s="1"/>
  <c r="AT64" i="1"/>
  <c r="H267" i="7" s="1"/>
  <c r="AA62" i="1"/>
  <c r="H213" i="7" s="1"/>
  <c r="H114" i="7"/>
  <c r="BN61" i="1"/>
  <c r="AT63" i="1"/>
  <c r="AA61" i="1"/>
  <c r="BN60" i="1"/>
  <c r="H309" i="7" s="1"/>
  <c r="AT62" i="1"/>
  <c r="H264" i="7" s="1"/>
  <c r="AA60" i="1"/>
  <c r="H210" i="7" s="1"/>
  <c r="H60" i="1"/>
  <c r="H111" i="7" s="1"/>
  <c r="BN59" i="1"/>
  <c r="AT61" i="1"/>
  <c r="AA59" i="1"/>
  <c r="H59" i="1"/>
  <c r="BN58" i="1"/>
  <c r="H306" i="7" s="1"/>
  <c r="AT58" i="1"/>
  <c r="H258" i="7" s="1"/>
  <c r="AA58" i="1"/>
  <c r="H207" i="7" s="1"/>
  <c r="H58" i="1"/>
  <c r="H108" i="7" s="1"/>
  <c r="BN57" i="1"/>
  <c r="AT57" i="1"/>
  <c r="AA57" i="1"/>
  <c r="H57" i="1"/>
  <c r="O57" i="1" s="1"/>
  <c r="AA56" i="1"/>
  <c r="H204" i="7" s="1"/>
  <c r="H56" i="1"/>
  <c r="H105" i="7" s="1"/>
  <c r="BP55" i="1"/>
  <c r="AV55" i="1"/>
  <c r="J254" i="7" s="1"/>
  <c r="AA55" i="1"/>
  <c r="H55" i="1"/>
  <c r="O55" i="1" s="1"/>
  <c r="AT54" i="1"/>
  <c r="H252" i="7" s="1"/>
  <c r="AA54" i="1"/>
  <c r="H201" i="7" s="1"/>
  <c r="H54" i="1"/>
  <c r="BP53" i="1"/>
  <c r="J299" i="7" s="1"/>
  <c r="AT53" i="1"/>
  <c r="AA53" i="1"/>
  <c r="H53" i="1"/>
  <c r="O53" i="1" s="1"/>
  <c r="BN52" i="1"/>
  <c r="H297" i="7" s="1"/>
  <c r="AT52" i="1"/>
  <c r="H249" i="7" s="1"/>
  <c r="H52" i="1"/>
  <c r="H99" i="7" s="1"/>
  <c r="BN51" i="1"/>
  <c r="AT51" i="1"/>
  <c r="AC51" i="1"/>
  <c r="J197" i="7" s="1"/>
  <c r="H51" i="1"/>
  <c r="O51" i="1" s="1"/>
  <c r="AT50" i="1"/>
  <c r="H246" i="7" s="1"/>
  <c r="AA50" i="1"/>
  <c r="H195" i="7" s="1"/>
  <c r="H50" i="1"/>
  <c r="H96" i="7" s="1"/>
  <c r="BP49" i="1"/>
  <c r="AT49" i="1"/>
  <c r="AA49" i="1"/>
  <c r="H49" i="1"/>
  <c r="O49" i="1" s="1"/>
  <c r="BN48" i="1"/>
  <c r="H291" i="7" s="1"/>
  <c r="AT48" i="1"/>
  <c r="H243" i="7" s="1"/>
  <c r="AA48" i="1"/>
  <c r="H192" i="7" s="1"/>
  <c r="H48" i="1"/>
  <c r="H93" i="7" s="1"/>
  <c r="BN47" i="1"/>
  <c r="AT47" i="1"/>
  <c r="AA47" i="1"/>
  <c r="H47" i="1"/>
  <c r="O47" i="1" s="1"/>
  <c r="BN46" i="1"/>
  <c r="H288" i="7" s="1"/>
  <c r="AT46" i="1"/>
  <c r="H240" i="7" s="1"/>
  <c r="AA46" i="1"/>
  <c r="H189" i="7" s="1"/>
  <c r="H46" i="1"/>
  <c r="H90" i="7" s="1"/>
  <c r="BN45" i="1"/>
  <c r="AT45" i="1"/>
  <c r="AA45" i="1"/>
  <c r="H45" i="1"/>
  <c r="O45" i="1" s="1"/>
  <c r="AT44" i="1"/>
  <c r="H237" i="7" s="1"/>
  <c r="AA44" i="1"/>
  <c r="H186" i="7" s="1"/>
  <c r="H44" i="1"/>
  <c r="H87" i="7" s="1"/>
  <c r="BP43" i="1"/>
  <c r="AT43" i="1"/>
  <c r="AA43" i="1"/>
  <c r="H43" i="1"/>
  <c r="O43" i="1" s="1"/>
  <c r="BN42" i="1"/>
  <c r="H282" i="7" s="1"/>
  <c r="AT42" i="1"/>
  <c r="H234" i="7" s="1"/>
  <c r="AA42" i="1"/>
  <c r="H183" i="7" s="1"/>
  <c r="H42" i="1"/>
  <c r="H84" i="7" s="1"/>
  <c r="BN41" i="1"/>
  <c r="AT41" i="1"/>
  <c r="AA41" i="1"/>
  <c r="H41" i="1"/>
  <c r="O41" i="1" s="1"/>
  <c r="BN40" i="1"/>
  <c r="H279" i="7" s="1"/>
  <c r="AT40" i="1"/>
  <c r="H231" i="7" s="1"/>
  <c r="AA40" i="1"/>
  <c r="H180" i="7" s="1"/>
  <c r="H40" i="1"/>
  <c r="H81" i="7" s="1"/>
  <c r="BN39" i="1"/>
  <c r="AT39" i="1"/>
  <c r="AA39" i="1"/>
  <c r="H39" i="1"/>
  <c r="BN38" i="1"/>
  <c r="H276" i="7" s="1"/>
  <c r="AT38" i="1"/>
  <c r="H228" i="7" s="1"/>
  <c r="AA38" i="1"/>
  <c r="H177" i="7" s="1"/>
  <c r="H38" i="1"/>
  <c r="BN37" i="1"/>
  <c r="AT37" i="1"/>
  <c r="AA37" i="1"/>
  <c r="H7" i="3"/>
  <c r="G6" i="6" s="1"/>
  <c r="F7" i="3"/>
  <c r="O29" i="1"/>
  <c r="K76" i="7" s="1"/>
  <c r="M29" i="1"/>
  <c r="I76" i="7" s="1"/>
  <c r="L29" i="1"/>
  <c r="H76" i="7" s="1"/>
  <c r="G29" i="1"/>
  <c r="O27" i="1"/>
  <c r="K73" i="7" s="1"/>
  <c r="M27" i="1"/>
  <c r="I73" i="7" s="1"/>
  <c r="L27" i="1"/>
  <c r="H73" i="7" s="1"/>
  <c r="G27" i="1"/>
  <c r="O25" i="1"/>
  <c r="K70" i="7" s="1"/>
  <c r="M25" i="1"/>
  <c r="I70" i="7" s="1"/>
  <c r="L25" i="1"/>
  <c r="H70" i="7" s="1"/>
  <c r="I25" i="1"/>
  <c r="O23" i="1"/>
  <c r="K67" i="7" s="1"/>
  <c r="M23" i="1"/>
  <c r="I67" i="7" s="1"/>
  <c r="L23" i="1"/>
  <c r="H67" i="7" s="1"/>
  <c r="G23" i="1"/>
  <c r="O21" i="1"/>
  <c r="M21" i="1"/>
  <c r="I64" i="7" s="1"/>
  <c r="L21" i="1"/>
  <c r="H64" i="7" s="1"/>
  <c r="G21" i="1"/>
  <c r="I21" i="1" s="1"/>
  <c r="O19" i="1"/>
  <c r="K61" i="7" s="1"/>
  <c r="M19" i="1"/>
  <c r="I61" i="7" s="1"/>
  <c r="L19" i="1"/>
  <c r="H61" i="7" s="1"/>
  <c r="G19" i="1"/>
  <c r="O17" i="1"/>
  <c r="K58" i="7" s="1"/>
  <c r="M17" i="1"/>
  <c r="I58" i="7" s="1"/>
  <c r="L17" i="1"/>
  <c r="H58" i="7" s="1"/>
  <c r="G17" i="1"/>
  <c r="O15" i="1"/>
  <c r="K55" i="7" s="1"/>
  <c r="M15" i="1"/>
  <c r="I55" i="7" s="1"/>
  <c r="L15" i="1"/>
  <c r="H55" i="7" s="1"/>
  <c r="G15" i="1"/>
  <c r="O13" i="1"/>
  <c r="K52" i="7" s="1"/>
  <c r="M13" i="1"/>
  <c r="I52" i="7" s="1"/>
  <c r="L13" i="1"/>
  <c r="H52" i="7" s="1"/>
  <c r="G13" i="1"/>
  <c r="O11" i="1"/>
  <c r="K49" i="7" s="1"/>
  <c r="M11" i="1"/>
  <c r="I49" i="7" s="1"/>
  <c r="L11" i="1"/>
  <c r="H49" i="7" s="1"/>
  <c r="G11" i="1"/>
  <c r="O9" i="1"/>
  <c r="K46" i="7" s="1"/>
  <c r="M9" i="1"/>
  <c r="I46" i="7" s="1"/>
  <c r="L9" i="1"/>
  <c r="H46" i="7" s="1"/>
  <c r="G9" i="1"/>
  <c r="K43" i="7"/>
  <c r="I43" i="7"/>
  <c r="H43" i="7"/>
  <c r="O59" i="1" l="1"/>
  <c r="O75" i="1"/>
  <c r="O85" i="1"/>
  <c r="H151" i="7" s="1"/>
  <c r="O89" i="1"/>
  <c r="Q89" i="1" s="1"/>
  <c r="O93" i="1"/>
  <c r="H163" i="7" s="1"/>
  <c r="O67" i="1"/>
  <c r="O97" i="1"/>
  <c r="H85" i="7"/>
  <c r="Q41" i="1"/>
  <c r="AV61" i="1"/>
  <c r="H263" i="7"/>
  <c r="BA61" i="1"/>
  <c r="BP61" i="1"/>
  <c r="J311" i="7" s="1"/>
  <c r="H311" i="7"/>
  <c r="BU61" i="1"/>
  <c r="H176" i="7"/>
  <c r="AH37" i="1"/>
  <c r="AC39" i="1"/>
  <c r="J179" i="7" s="1"/>
  <c r="AH39" i="1"/>
  <c r="H179" i="7"/>
  <c r="AC41" i="1"/>
  <c r="AE41" i="1" s="1"/>
  <c r="AH41" i="1"/>
  <c r="H182" i="7"/>
  <c r="AC43" i="1"/>
  <c r="AE43" i="1" s="1"/>
  <c r="H185" i="7"/>
  <c r="AH43" i="1"/>
  <c r="AV45" i="1"/>
  <c r="AX45" i="1" s="1"/>
  <c r="H239" i="7"/>
  <c r="BA45" i="1"/>
  <c r="AV47" i="1"/>
  <c r="H242" i="7"/>
  <c r="BA47" i="1"/>
  <c r="AV49" i="1"/>
  <c r="AX49" i="1" s="1"/>
  <c r="H245" i="7"/>
  <c r="BA49" i="1"/>
  <c r="BP51" i="1"/>
  <c r="J296" i="7" s="1"/>
  <c r="BU51" i="1"/>
  <c r="H296" i="7"/>
  <c r="H103" i="7"/>
  <c r="Q53" i="1"/>
  <c r="H102" i="7"/>
  <c r="AC55" i="1"/>
  <c r="J203" i="7" s="1"/>
  <c r="AH55" i="1"/>
  <c r="H203" i="7"/>
  <c r="BP57" i="1"/>
  <c r="J305" i="7" s="1"/>
  <c r="H305" i="7"/>
  <c r="BU57" i="1"/>
  <c r="BP59" i="1"/>
  <c r="J308" i="7" s="1"/>
  <c r="BU59" i="1"/>
  <c r="H308" i="7"/>
  <c r="H118" i="7"/>
  <c r="Q63" i="1"/>
  <c r="AC65" i="1"/>
  <c r="J218" i="7" s="1"/>
  <c r="AH65" i="1"/>
  <c r="H218" i="7"/>
  <c r="AC67" i="1"/>
  <c r="AE67" i="1" s="1"/>
  <c r="AH67" i="1"/>
  <c r="H221" i="7"/>
  <c r="H127" i="7"/>
  <c r="Q69" i="1"/>
  <c r="H88" i="7"/>
  <c r="Q43" i="1"/>
  <c r="AC45" i="1"/>
  <c r="AE45" i="1" s="1"/>
  <c r="H188" i="7"/>
  <c r="AH45" i="1"/>
  <c r="AC47" i="1"/>
  <c r="AH47" i="1"/>
  <c r="H191" i="7"/>
  <c r="AV51" i="1"/>
  <c r="J248" i="7" s="1"/>
  <c r="H248" i="7"/>
  <c r="BA51" i="1"/>
  <c r="H106" i="7"/>
  <c r="Q55" i="1"/>
  <c r="H121" i="7"/>
  <c r="Q65" i="1"/>
  <c r="H136" i="7"/>
  <c r="Q75" i="1"/>
  <c r="H141" i="7"/>
  <c r="O79" i="1"/>
  <c r="H157" i="7"/>
  <c r="K64" i="7"/>
  <c r="BA37" i="1"/>
  <c r="H227" i="7"/>
  <c r="AV39" i="1"/>
  <c r="J230" i="7" s="1"/>
  <c r="H230" i="7"/>
  <c r="BA39" i="1"/>
  <c r="AV41" i="1"/>
  <c r="AX41" i="1" s="1"/>
  <c r="H233" i="7"/>
  <c r="BA41" i="1"/>
  <c r="AV43" i="1"/>
  <c r="J236" i="7" s="1"/>
  <c r="H236" i="7"/>
  <c r="BA43" i="1"/>
  <c r="BP45" i="1"/>
  <c r="H287" i="7"/>
  <c r="BU45" i="1"/>
  <c r="BP47" i="1"/>
  <c r="BR47" i="1" s="1"/>
  <c r="H290" i="7"/>
  <c r="BU47" i="1"/>
  <c r="H100" i="7"/>
  <c r="Q51" i="1"/>
  <c r="AC53" i="1"/>
  <c r="J200" i="7" s="1"/>
  <c r="AH53" i="1"/>
  <c r="H200" i="7"/>
  <c r="H109" i="7"/>
  <c r="Q57" i="1"/>
  <c r="H112" i="7"/>
  <c r="Q59" i="1"/>
  <c r="AC61" i="1"/>
  <c r="J212" i="7" s="1"/>
  <c r="AH61" i="1"/>
  <c r="H212" i="7"/>
  <c r="AC63" i="1"/>
  <c r="AE63" i="1" s="1"/>
  <c r="AH63" i="1"/>
  <c r="H215" i="7"/>
  <c r="AV67" i="1"/>
  <c r="J272" i="7" s="1"/>
  <c r="H272" i="7"/>
  <c r="BA67" i="1"/>
  <c r="BP68" i="1"/>
  <c r="J320" i="7"/>
  <c r="AC69" i="1"/>
  <c r="AF69" i="1" s="1"/>
  <c r="M224" i="7" s="1"/>
  <c r="AH69" i="1"/>
  <c r="H224" i="7"/>
  <c r="H133" i="7"/>
  <c r="Q73" i="1"/>
  <c r="O83" i="1"/>
  <c r="O87" i="1"/>
  <c r="O91" i="1"/>
  <c r="O95" i="1"/>
  <c r="O99" i="1"/>
  <c r="G105" i="1"/>
  <c r="O37" i="1"/>
  <c r="H80" i="7"/>
  <c r="O39" i="1"/>
  <c r="G104" i="1"/>
  <c r="AC49" i="1"/>
  <c r="H194" i="7"/>
  <c r="AH49" i="1"/>
  <c r="AV57" i="1"/>
  <c r="J257" i="7" s="1"/>
  <c r="H257" i="7"/>
  <c r="BA57" i="1"/>
  <c r="H124" i="7"/>
  <c r="Q67" i="1"/>
  <c r="H169" i="7"/>
  <c r="Q97" i="1"/>
  <c r="H275" i="7"/>
  <c r="BU37" i="1"/>
  <c r="BP39" i="1"/>
  <c r="BR39" i="1" s="1"/>
  <c r="H278" i="7"/>
  <c r="BU39" i="1"/>
  <c r="BP41" i="1"/>
  <c r="H281" i="7"/>
  <c r="BU41" i="1"/>
  <c r="H91" i="7"/>
  <c r="Q45" i="1"/>
  <c r="H94" i="7"/>
  <c r="Q47" i="1"/>
  <c r="H97" i="7"/>
  <c r="Q49" i="1"/>
  <c r="AV53" i="1"/>
  <c r="J251" i="7" s="1"/>
  <c r="H251" i="7"/>
  <c r="BA53" i="1"/>
  <c r="AC57" i="1"/>
  <c r="J206" i="7" s="1"/>
  <c r="AH57" i="1"/>
  <c r="H206" i="7"/>
  <c r="AC59" i="1"/>
  <c r="H209" i="7"/>
  <c r="AH59" i="1"/>
  <c r="AV63" i="1"/>
  <c r="J266" i="7" s="1"/>
  <c r="BA63" i="1"/>
  <c r="H266" i="7"/>
  <c r="AV65" i="1"/>
  <c r="J269" i="7" s="1"/>
  <c r="BA65" i="1"/>
  <c r="H269" i="7"/>
  <c r="BP65" i="1"/>
  <c r="J317" i="7" s="1"/>
  <c r="H317" i="7"/>
  <c r="BU65" i="1"/>
  <c r="BS49" i="1"/>
  <c r="M293" i="7" s="1"/>
  <c r="J293" i="7"/>
  <c r="BS43" i="1"/>
  <c r="M284" i="7" s="1"/>
  <c r="J284" i="7"/>
  <c r="K331" i="7"/>
  <c r="BS45" i="1"/>
  <c r="M287" i="7" s="1"/>
  <c r="J287" i="7"/>
  <c r="BS55" i="1"/>
  <c r="M302" i="7" s="1"/>
  <c r="J302" i="7"/>
  <c r="M41" i="7"/>
  <c r="J41" i="7"/>
  <c r="I13" i="1"/>
  <c r="J50" i="7"/>
  <c r="I19" i="1"/>
  <c r="J59" i="7"/>
  <c r="J62" i="7"/>
  <c r="I27" i="1"/>
  <c r="J71" i="7"/>
  <c r="L71" i="1"/>
  <c r="L128" i="7" s="1"/>
  <c r="J83" i="1"/>
  <c r="J146" i="7" s="1"/>
  <c r="H146" i="7"/>
  <c r="J87" i="1"/>
  <c r="J152" i="7" s="1"/>
  <c r="H152" i="7"/>
  <c r="J91" i="1"/>
  <c r="J158" i="7" s="1"/>
  <c r="H158" i="7"/>
  <c r="J95" i="1"/>
  <c r="J164" i="7" s="1"/>
  <c r="H164" i="7"/>
  <c r="J99" i="1"/>
  <c r="J170" i="7" s="1"/>
  <c r="H170" i="7"/>
  <c r="J38" i="1"/>
  <c r="H78" i="7"/>
  <c r="J41" i="1"/>
  <c r="L41" i="1" s="1"/>
  <c r="H83" i="7"/>
  <c r="J43" i="1"/>
  <c r="H86" i="7"/>
  <c r="J45" i="1"/>
  <c r="J89" i="7" s="1"/>
  <c r="H89" i="7"/>
  <c r="J47" i="1"/>
  <c r="H92" i="7"/>
  <c r="J49" i="1"/>
  <c r="J95" i="7" s="1"/>
  <c r="H95" i="7"/>
  <c r="J51" i="1"/>
  <c r="J98" i="7" s="1"/>
  <c r="H98" i="7"/>
  <c r="J53" i="1"/>
  <c r="J101" i="7" s="1"/>
  <c r="H101" i="7"/>
  <c r="J55" i="1"/>
  <c r="H104" i="7"/>
  <c r="J57" i="1"/>
  <c r="J107" i="7" s="1"/>
  <c r="H107" i="7"/>
  <c r="J59" i="1"/>
  <c r="J110" i="7" s="1"/>
  <c r="H110" i="7"/>
  <c r="J61" i="1"/>
  <c r="M61" i="1" s="1"/>
  <c r="M113" i="7" s="1"/>
  <c r="H113" i="7"/>
  <c r="J63" i="1"/>
  <c r="J116" i="7" s="1"/>
  <c r="H116" i="7"/>
  <c r="J75" i="1"/>
  <c r="J134" i="7" s="1"/>
  <c r="H134" i="7"/>
  <c r="F8" i="3"/>
  <c r="J108" i="1"/>
  <c r="L323" i="7" s="1"/>
  <c r="I11" i="1"/>
  <c r="J47" i="7"/>
  <c r="I17" i="1"/>
  <c r="J56" i="7"/>
  <c r="I23" i="1"/>
  <c r="J65" i="7"/>
  <c r="J69" i="1"/>
  <c r="J125" i="7" s="1"/>
  <c r="H125" i="7"/>
  <c r="J81" i="1"/>
  <c r="H143" i="7"/>
  <c r="J85" i="1"/>
  <c r="J149" i="7" s="1"/>
  <c r="H149" i="7"/>
  <c r="J89" i="1"/>
  <c r="J155" i="7" s="1"/>
  <c r="H155" i="7"/>
  <c r="J93" i="1"/>
  <c r="J161" i="7" s="1"/>
  <c r="H161" i="7"/>
  <c r="J97" i="1"/>
  <c r="J167" i="7" s="1"/>
  <c r="H167" i="7"/>
  <c r="J101" i="1"/>
  <c r="J173" i="7" s="1"/>
  <c r="H173" i="7"/>
  <c r="H8" i="3"/>
  <c r="J9" i="1"/>
  <c r="M44" i="7" s="1"/>
  <c r="J44" i="7"/>
  <c r="I15" i="1"/>
  <c r="J53" i="7"/>
  <c r="G26" i="1"/>
  <c r="J69" i="7" s="1"/>
  <c r="L68" i="7"/>
  <c r="I29" i="1"/>
  <c r="J74" i="7"/>
  <c r="J65" i="1"/>
  <c r="J119" i="7" s="1"/>
  <c r="H119" i="7"/>
  <c r="J67" i="1"/>
  <c r="J122" i="7" s="1"/>
  <c r="H122" i="7"/>
  <c r="H9" i="3"/>
  <c r="J73" i="1"/>
  <c r="J131" i="7" s="1"/>
  <c r="H131" i="7"/>
  <c r="L77" i="1"/>
  <c r="L137" i="7" s="1"/>
  <c r="F9" i="3"/>
  <c r="L79" i="1"/>
  <c r="L140" i="7" s="1"/>
  <c r="BK72" i="1"/>
  <c r="E15" i="3" s="1"/>
  <c r="E8" i="6"/>
  <c r="E10" i="6"/>
  <c r="N9" i="1"/>
  <c r="N11" i="1"/>
  <c r="N13" i="1"/>
  <c r="P13" i="1" s="1"/>
  <c r="L52" i="7" s="1"/>
  <c r="N15" i="1"/>
  <c r="N17" i="1"/>
  <c r="N19" i="1"/>
  <c r="E9" i="6"/>
  <c r="G10" i="6"/>
  <c r="G9" i="6"/>
  <c r="G8" i="6"/>
  <c r="AR71" i="1"/>
  <c r="E12" i="3" s="1"/>
  <c r="N21" i="1"/>
  <c r="Q21" i="1" s="1"/>
  <c r="N23" i="1"/>
  <c r="N25" i="1"/>
  <c r="N27" i="1"/>
  <c r="N29" i="1"/>
  <c r="I7" i="1"/>
  <c r="E9" i="3"/>
  <c r="AR72" i="1"/>
  <c r="E13" i="3" s="1"/>
  <c r="AY43" i="1"/>
  <c r="M236" i="7" s="1"/>
  <c r="M32" i="1"/>
  <c r="F6" i="3"/>
  <c r="I33" i="1"/>
  <c r="E7" i="3"/>
  <c r="L32" i="1"/>
  <c r="I9" i="1"/>
  <c r="O32" i="1"/>
  <c r="Z74" i="1"/>
  <c r="E11" i="3" s="1"/>
  <c r="J39" i="1"/>
  <c r="E8" i="3"/>
  <c r="AE39" i="1"/>
  <c r="AF39" i="1"/>
  <c r="M179" i="7" s="1"/>
  <c r="Z73" i="1"/>
  <c r="E10" i="3" s="1"/>
  <c r="BK71" i="1"/>
  <c r="E14" i="3" s="1"/>
  <c r="AE51" i="1"/>
  <c r="AF51" i="1"/>
  <c r="M197" i="7" s="1"/>
  <c r="AE53" i="1"/>
  <c r="AF53" i="1"/>
  <c r="M200" i="7" s="1"/>
  <c r="BR53" i="1"/>
  <c r="M299" i="7"/>
  <c r="AF55" i="1"/>
  <c r="M203" i="7" s="1"/>
  <c r="BR55" i="1"/>
  <c r="AE57" i="1"/>
  <c r="AF57" i="1"/>
  <c r="M206" i="7" s="1"/>
  <c r="BR63" i="1"/>
  <c r="BR65" i="1"/>
  <c r="BS65" i="1"/>
  <c r="M317" i="7" s="1"/>
  <c r="J11" i="1"/>
  <c r="M47" i="7" s="1"/>
  <c r="J13" i="1"/>
  <c r="M50" i="7" s="1"/>
  <c r="J15" i="1"/>
  <c r="M53" i="7" s="1"/>
  <c r="J17" i="1"/>
  <c r="M56" i="7" s="1"/>
  <c r="J19" i="1"/>
  <c r="M59" i="7" s="1"/>
  <c r="J21" i="1"/>
  <c r="M62" i="7" s="1"/>
  <c r="J23" i="1"/>
  <c r="M65" i="7" s="1"/>
  <c r="J27" i="1"/>
  <c r="M71" i="7" s="1"/>
  <c r="J29" i="1"/>
  <c r="M74" i="7" s="1"/>
  <c r="M101" i="7"/>
  <c r="AX55" i="1"/>
  <c r="AY55" i="1"/>
  <c r="M254" i="7" s="1"/>
  <c r="AX57" i="1"/>
  <c r="AY57" i="1"/>
  <c r="M257" i="7" s="1"/>
  <c r="AC37" i="1"/>
  <c r="AV37" i="1"/>
  <c r="BP37" i="1"/>
  <c r="BR41" i="1"/>
  <c r="BR43" i="1"/>
  <c r="BR45" i="1"/>
  <c r="AX47" i="1"/>
  <c r="BR49" i="1"/>
  <c r="AX61" i="1"/>
  <c r="BS67" i="1"/>
  <c r="M320" i="7" s="1"/>
  <c r="M131" i="7"/>
  <c r="M77" i="1"/>
  <c r="M137" i="7" s="1"/>
  <c r="M140" i="7"/>
  <c r="K108" i="1"/>
  <c r="M323" i="7" s="1"/>
  <c r="M99" i="1" l="1"/>
  <c r="M170" i="7" s="1"/>
  <c r="M91" i="1"/>
  <c r="M158" i="7" s="1"/>
  <c r="BR51" i="1"/>
  <c r="BP52" i="1" s="1"/>
  <c r="J297" i="7" s="1"/>
  <c r="L57" i="1"/>
  <c r="L107" i="7" s="1"/>
  <c r="M49" i="1"/>
  <c r="M95" i="7" s="1"/>
  <c r="L61" i="1"/>
  <c r="L113" i="7" s="1"/>
  <c r="L49" i="1"/>
  <c r="L95" i="7" s="1"/>
  <c r="Q85" i="1"/>
  <c r="S85" i="1" s="1"/>
  <c r="L151" i="7" s="1"/>
  <c r="AY63" i="1"/>
  <c r="M266" i="7" s="1"/>
  <c r="J221" i="7"/>
  <c r="BR59" i="1"/>
  <c r="BP60" i="1" s="1"/>
  <c r="J309" i="7" s="1"/>
  <c r="M93" i="1"/>
  <c r="M161" i="7" s="1"/>
  <c r="BS51" i="1"/>
  <c r="M296" i="7" s="1"/>
  <c r="BS59" i="1"/>
  <c r="M308" i="7" s="1"/>
  <c r="AX65" i="1"/>
  <c r="L269" i="7" s="1"/>
  <c r="AX53" i="1"/>
  <c r="AV54" i="1" s="1"/>
  <c r="J252" i="7" s="1"/>
  <c r="AX43" i="1"/>
  <c r="AV44" i="1" s="1"/>
  <c r="J237" i="7" s="1"/>
  <c r="AY67" i="1"/>
  <c r="M272" i="7" s="1"/>
  <c r="L97" i="1"/>
  <c r="L167" i="7" s="1"/>
  <c r="AX67" i="1"/>
  <c r="AV68" i="1" s="1"/>
  <c r="J273" i="7" s="1"/>
  <c r="AX51" i="1"/>
  <c r="BS61" i="1"/>
  <c r="M311" i="7" s="1"/>
  <c r="Q93" i="1"/>
  <c r="T93" i="1" s="1"/>
  <c r="M163" i="7" s="1"/>
  <c r="AE65" i="1"/>
  <c r="AC66" i="1" s="1"/>
  <c r="L221" i="7"/>
  <c r="AC68" i="1"/>
  <c r="AE68" i="1" s="1"/>
  <c r="L222" i="7" s="1"/>
  <c r="M75" i="1"/>
  <c r="M134" i="7" s="1"/>
  <c r="AF67" i="1"/>
  <c r="M221" i="7" s="1"/>
  <c r="L45" i="1"/>
  <c r="AX63" i="1"/>
  <c r="AV64" i="1" s="1"/>
  <c r="J267" i="7" s="1"/>
  <c r="L53" i="1"/>
  <c r="L101" i="7" s="1"/>
  <c r="M83" i="1"/>
  <c r="M146" i="7" s="1"/>
  <c r="M67" i="1"/>
  <c r="M122" i="7" s="1"/>
  <c r="AY65" i="1"/>
  <c r="M269" i="7" s="1"/>
  <c r="M57" i="1"/>
  <c r="M107" i="7" s="1"/>
  <c r="AY53" i="1"/>
  <c r="M251" i="7" s="1"/>
  <c r="L99" i="1"/>
  <c r="L170" i="7" s="1"/>
  <c r="L91" i="1"/>
  <c r="L158" i="7" s="1"/>
  <c r="BR61" i="1"/>
  <c r="BP62" i="1" s="1"/>
  <c r="BS57" i="1"/>
  <c r="M305" i="7" s="1"/>
  <c r="AY51" i="1"/>
  <c r="M248" i="7" s="1"/>
  <c r="BR57" i="1"/>
  <c r="BP58" i="1" s="1"/>
  <c r="J321" i="7"/>
  <c r="BS68" i="1"/>
  <c r="M321" i="7" s="1"/>
  <c r="BR68" i="1"/>
  <c r="L321" i="7" s="1"/>
  <c r="L320" i="7"/>
  <c r="AV46" i="1"/>
  <c r="J240" i="7" s="1"/>
  <c r="L239" i="7"/>
  <c r="BR37" i="1"/>
  <c r="L275" i="7" s="1"/>
  <c r="J275" i="7"/>
  <c r="L55" i="1"/>
  <c r="J56" i="1" s="1"/>
  <c r="J105" i="7" s="1"/>
  <c r="J104" i="7"/>
  <c r="L47" i="1"/>
  <c r="L92" i="7" s="1"/>
  <c r="J92" i="7"/>
  <c r="BC63" i="1"/>
  <c r="H268" i="7"/>
  <c r="BC53" i="1"/>
  <c r="H253" i="7"/>
  <c r="H82" i="7"/>
  <c r="Q39" i="1"/>
  <c r="H148" i="7"/>
  <c r="Q83" i="1"/>
  <c r="H274" i="7"/>
  <c r="BC67" i="1"/>
  <c r="J100" i="7"/>
  <c r="S51" i="1"/>
  <c r="L100" i="7" s="1"/>
  <c r="T51" i="1"/>
  <c r="M100" i="7" s="1"/>
  <c r="H238" i="7"/>
  <c r="BC43" i="1"/>
  <c r="J88" i="7"/>
  <c r="T43" i="1"/>
  <c r="M88" i="7" s="1"/>
  <c r="S43" i="1"/>
  <c r="L88" i="7" s="1"/>
  <c r="H220" i="7"/>
  <c r="AJ65" i="1"/>
  <c r="M69" i="1"/>
  <c r="M125" i="7" s="1"/>
  <c r="L236" i="7"/>
  <c r="AC42" i="1"/>
  <c r="J183" i="7" s="1"/>
  <c r="L182" i="7"/>
  <c r="AT71" i="1"/>
  <c r="G12" i="3" s="1"/>
  <c r="J227" i="7"/>
  <c r="AF61" i="1"/>
  <c r="M212" i="7" s="1"/>
  <c r="AE55" i="1"/>
  <c r="AC54" i="1"/>
  <c r="J201" i="7" s="1"/>
  <c r="L200" i="7"/>
  <c r="H319" i="7"/>
  <c r="BW65" i="1"/>
  <c r="BC65" i="1"/>
  <c r="H271" i="7"/>
  <c r="J94" i="7"/>
  <c r="T47" i="1"/>
  <c r="M94" i="7" s="1"/>
  <c r="S47" i="1"/>
  <c r="L94" i="7" s="1"/>
  <c r="BW41" i="1"/>
  <c r="H283" i="7"/>
  <c r="J169" i="7"/>
  <c r="S97" i="1"/>
  <c r="L169" i="7" s="1"/>
  <c r="T97" i="1"/>
  <c r="M169" i="7" s="1"/>
  <c r="H259" i="7"/>
  <c r="BC57" i="1"/>
  <c r="H166" i="7"/>
  <c r="Q95" i="1"/>
  <c r="J133" i="7"/>
  <c r="S73" i="1"/>
  <c r="L133" i="7" s="1"/>
  <c r="T73" i="1"/>
  <c r="M133" i="7" s="1"/>
  <c r="AE69" i="1"/>
  <c r="J224" i="7"/>
  <c r="AF63" i="1"/>
  <c r="M215" i="7" s="1"/>
  <c r="J215" i="7"/>
  <c r="J112" i="7"/>
  <c r="T59" i="1"/>
  <c r="M112" i="7" s="1"/>
  <c r="S59" i="1"/>
  <c r="L112" i="7" s="1"/>
  <c r="H289" i="7"/>
  <c r="BW45" i="1"/>
  <c r="AY41" i="1"/>
  <c r="M233" i="7" s="1"/>
  <c r="J233" i="7"/>
  <c r="J157" i="7"/>
  <c r="S89" i="1"/>
  <c r="L157" i="7" s="1"/>
  <c r="T89" i="1"/>
  <c r="M157" i="7" s="1"/>
  <c r="J136" i="7"/>
  <c r="S75" i="1"/>
  <c r="L136" i="7" s="1"/>
  <c r="T75" i="1"/>
  <c r="M136" i="7" s="1"/>
  <c r="J106" i="7"/>
  <c r="T55" i="1"/>
  <c r="M106" i="7" s="1"/>
  <c r="S55" i="1"/>
  <c r="L106" i="7" s="1"/>
  <c r="H190" i="7"/>
  <c r="AJ45" i="1"/>
  <c r="H223" i="7"/>
  <c r="AJ67" i="1"/>
  <c r="H310" i="7"/>
  <c r="BW59" i="1"/>
  <c r="G112" i="1"/>
  <c r="N110" i="1"/>
  <c r="I326" i="7"/>
  <c r="H110" i="1"/>
  <c r="K110" i="1" s="1"/>
  <c r="M326" i="7" s="1"/>
  <c r="F16" i="3"/>
  <c r="AY47" i="1"/>
  <c r="M242" i="7" s="1"/>
  <c r="J242" i="7"/>
  <c r="H187" i="7"/>
  <c r="AJ43" i="1"/>
  <c r="H184" i="7"/>
  <c r="AJ41" i="1"/>
  <c r="AY61" i="1"/>
  <c r="M263" i="7" s="1"/>
  <c r="J263" i="7"/>
  <c r="AV50" i="1"/>
  <c r="J246" i="7" s="1"/>
  <c r="L245" i="7"/>
  <c r="AV42" i="1"/>
  <c r="J234" i="7" s="1"/>
  <c r="L233" i="7"/>
  <c r="L43" i="1"/>
  <c r="L86" i="7" s="1"/>
  <c r="J86" i="7"/>
  <c r="AE59" i="1"/>
  <c r="J209" i="7"/>
  <c r="H280" i="7"/>
  <c r="BW39" i="1"/>
  <c r="AJ49" i="1"/>
  <c r="H196" i="7"/>
  <c r="H172" i="7"/>
  <c r="Q99" i="1"/>
  <c r="H226" i="7"/>
  <c r="AJ69" i="1"/>
  <c r="H217" i="7"/>
  <c r="AJ63" i="1"/>
  <c r="BS47" i="1"/>
  <c r="M290" i="7" s="1"/>
  <c r="J290" i="7"/>
  <c r="AF47" i="1"/>
  <c r="M191" i="7" s="1"/>
  <c r="J191" i="7"/>
  <c r="H247" i="7"/>
  <c r="BC49" i="1"/>
  <c r="AY45" i="1"/>
  <c r="M239" i="7" s="1"/>
  <c r="J239" i="7"/>
  <c r="H181" i="7"/>
  <c r="AJ39" i="1"/>
  <c r="BW61" i="1"/>
  <c r="H313" i="7"/>
  <c r="M85" i="1"/>
  <c r="M149" i="7" s="1"/>
  <c r="AV62" i="1"/>
  <c r="J264" i="7" s="1"/>
  <c r="L263" i="7"/>
  <c r="AC46" i="1"/>
  <c r="J189" i="7" s="1"/>
  <c r="L188" i="7"/>
  <c r="AC44" i="1"/>
  <c r="J186" i="7" s="1"/>
  <c r="L185" i="7"/>
  <c r="AE37" i="1"/>
  <c r="L176" i="7" s="1"/>
  <c r="J176" i="7"/>
  <c r="L51" i="1"/>
  <c r="L98" i="7" s="1"/>
  <c r="L101" i="1"/>
  <c r="L173" i="7" s="1"/>
  <c r="BP66" i="1"/>
  <c r="J318" i="7" s="1"/>
  <c r="L317" i="7"/>
  <c r="AE61" i="1"/>
  <c r="AC58" i="1"/>
  <c r="J207" i="7" s="1"/>
  <c r="L206" i="7"/>
  <c r="AX39" i="1"/>
  <c r="L39" i="1"/>
  <c r="L80" i="7" s="1"/>
  <c r="J80" i="7"/>
  <c r="I104" i="1"/>
  <c r="L81" i="1"/>
  <c r="J143" i="7"/>
  <c r="M41" i="1"/>
  <c r="M83" i="7" s="1"/>
  <c r="J83" i="7"/>
  <c r="H211" i="7"/>
  <c r="AJ59" i="1"/>
  <c r="AJ57" i="1"/>
  <c r="H208" i="7"/>
  <c r="BS39" i="1"/>
  <c r="M278" i="7" s="1"/>
  <c r="J278" i="7"/>
  <c r="AE49" i="1"/>
  <c r="J194" i="7"/>
  <c r="Q37" i="1"/>
  <c r="H79" i="7"/>
  <c r="H160" i="7"/>
  <c r="Q91" i="1"/>
  <c r="AJ53" i="1"/>
  <c r="H202" i="7"/>
  <c r="BW47" i="1"/>
  <c r="H292" i="7"/>
  <c r="BC39" i="1"/>
  <c r="H232" i="7"/>
  <c r="H229" i="7"/>
  <c r="BC37" i="1"/>
  <c r="J127" i="7"/>
  <c r="T69" i="1"/>
  <c r="M127" i="7" s="1"/>
  <c r="S69" i="1"/>
  <c r="L127" i="7" s="1"/>
  <c r="J118" i="7"/>
  <c r="S63" i="1"/>
  <c r="L118" i="7" s="1"/>
  <c r="T63" i="1"/>
  <c r="M118" i="7" s="1"/>
  <c r="BW51" i="1"/>
  <c r="H298" i="7"/>
  <c r="AY49" i="1"/>
  <c r="M245" i="7" s="1"/>
  <c r="J245" i="7"/>
  <c r="H241" i="7"/>
  <c r="BC45" i="1"/>
  <c r="AF41" i="1"/>
  <c r="M182" i="7" s="1"/>
  <c r="J182" i="7"/>
  <c r="AJ37" i="1"/>
  <c r="H178" i="7"/>
  <c r="J85" i="7"/>
  <c r="T41" i="1"/>
  <c r="M85" i="7" s="1"/>
  <c r="S41" i="1"/>
  <c r="L85" i="7" s="1"/>
  <c r="AE47" i="1"/>
  <c r="BP42" i="1"/>
  <c r="J282" i="7" s="1"/>
  <c r="L281" i="7"/>
  <c r="BP40" i="1"/>
  <c r="J279" i="7" s="1"/>
  <c r="L278" i="7"/>
  <c r="M101" i="1"/>
  <c r="M173" i="7" s="1"/>
  <c r="L93" i="1"/>
  <c r="L161" i="7" s="1"/>
  <c r="AY39" i="1"/>
  <c r="M230" i="7" s="1"/>
  <c r="AC40" i="1"/>
  <c r="AE40" i="1" s="1"/>
  <c r="L180" i="7" s="1"/>
  <c r="L179" i="7"/>
  <c r="J97" i="7"/>
  <c r="T49" i="1"/>
  <c r="M97" i="7" s="1"/>
  <c r="S49" i="1"/>
  <c r="L97" i="7" s="1"/>
  <c r="J91" i="7"/>
  <c r="S45" i="1"/>
  <c r="L91" i="7" s="1"/>
  <c r="T45" i="1"/>
  <c r="M91" i="7" s="1"/>
  <c r="BS41" i="1"/>
  <c r="M281" i="7" s="1"/>
  <c r="J281" i="7"/>
  <c r="BW37" i="1"/>
  <c r="H277" i="7"/>
  <c r="J124" i="7"/>
  <c r="S67" i="1"/>
  <c r="L124" i="7" s="1"/>
  <c r="T67" i="1"/>
  <c r="M124" i="7" s="1"/>
  <c r="H154" i="7"/>
  <c r="Q87" i="1"/>
  <c r="AJ61" i="1"/>
  <c r="H214" i="7"/>
  <c r="J109" i="7"/>
  <c r="T57" i="1"/>
  <c r="M109" i="7" s="1"/>
  <c r="S57" i="1"/>
  <c r="L109" i="7" s="1"/>
  <c r="H235" i="7"/>
  <c r="BC41" i="1"/>
  <c r="H142" i="7"/>
  <c r="Q79" i="1"/>
  <c r="J121" i="7"/>
  <c r="S65" i="1"/>
  <c r="L121" i="7" s="1"/>
  <c r="T65" i="1"/>
  <c r="M121" i="7" s="1"/>
  <c r="H250" i="7"/>
  <c r="BC51" i="1"/>
  <c r="H193" i="7"/>
  <c r="AJ47" i="1"/>
  <c r="AF45" i="1"/>
  <c r="M188" i="7" s="1"/>
  <c r="J188" i="7"/>
  <c r="H307" i="7"/>
  <c r="BW57" i="1"/>
  <c r="H205" i="7"/>
  <c r="AJ55" i="1"/>
  <c r="J103" i="7"/>
  <c r="S53" i="1"/>
  <c r="L103" i="7" s="1"/>
  <c r="T53" i="1"/>
  <c r="M103" i="7" s="1"/>
  <c r="H244" i="7"/>
  <c r="BC47" i="1"/>
  <c r="AF43" i="1"/>
  <c r="M185" i="7" s="1"/>
  <c r="J185" i="7"/>
  <c r="H265" i="7"/>
  <c r="BC61" i="1"/>
  <c r="AC64" i="1"/>
  <c r="AE64" i="1" s="1"/>
  <c r="L216" i="7" s="1"/>
  <c r="L215" i="7"/>
  <c r="L89" i="7"/>
  <c r="J46" i="1"/>
  <c r="J90" i="7" s="1"/>
  <c r="M38" i="1"/>
  <c r="M78" i="7" s="1"/>
  <c r="L83" i="7"/>
  <c r="AV52" i="1"/>
  <c r="J249" i="7" s="1"/>
  <c r="L248" i="7"/>
  <c r="AV48" i="1"/>
  <c r="J243" i="7" s="1"/>
  <c r="L242" i="7"/>
  <c r="J113" i="7"/>
  <c r="AC52" i="1"/>
  <c r="J198" i="7" s="1"/>
  <c r="L197" i="7"/>
  <c r="BP44" i="1"/>
  <c r="J285" i="7" s="1"/>
  <c r="L284" i="7"/>
  <c r="E6" i="6"/>
  <c r="G6" i="3"/>
  <c r="I6" i="3" s="1"/>
  <c r="G7" i="3" s="1"/>
  <c r="BP64" i="1"/>
  <c r="J315" i="7" s="1"/>
  <c r="L314" i="7"/>
  <c r="BP50" i="1"/>
  <c r="J294" i="7" s="1"/>
  <c r="L293" i="7"/>
  <c r="BP48" i="1"/>
  <c r="J291" i="7" s="1"/>
  <c r="L290" i="7"/>
  <c r="AV58" i="1"/>
  <c r="J258" i="7" s="1"/>
  <c r="L257" i="7"/>
  <c r="AV56" i="1"/>
  <c r="J255" i="7" s="1"/>
  <c r="L254" i="7"/>
  <c r="BP46" i="1"/>
  <c r="J288" i="7" s="1"/>
  <c r="L287" i="7"/>
  <c r="BP56" i="1"/>
  <c r="J303" i="7" s="1"/>
  <c r="L302" i="7"/>
  <c r="BP54" i="1"/>
  <c r="J300" i="7" s="1"/>
  <c r="L299" i="7"/>
  <c r="E7" i="6"/>
  <c r="I332" i="7" s="1"/>
  <c r="L59" i="1"/>
  <c r="L95" i="1"/>
  <c r="M119" i="7"/>
  <c r="L63" i="1"/>
  <c r="L116" i="7" s="1"/>
  <c r="M95" i="1"/>
  <c r="M164" i="7" s="1"/>
  <c r="J26" i="1"/>
  <c r="M69" i="7" s="1"/>
  <c r="M116" i="7"/>
  <c r="M59" i="1"/>
  <c r="M110" i="7" s="1"/>
  <c r="M55" i="1"/>
  <c r="M104" i="7" s="1"/>
  <c r="M51" i="1"/>
  <c r="M98" i="7" s="1"/>
  <c r="G7" i="6"/>
  <c r="K332" i="7" s="1"/>
  <c r="Q11" i="1"/>
  <c r="M49" i="7" s="1"/>
  <c r="J49" i="7"/>
  <c r="L89" i="1"/>
  <c r="L65" i="1"/>
  <c r="L119" i="7" s="1"/>
  <c r="M97" i="1"/>
  <c r="M167" i="7" s="1"/>
  <c r="P29" i="1"/>
  <c r="L76" i="7" s="1"/>
  <c r="J76" i="7"/>
  <c r="P21" i="1"/>
  <c r="L64" i="7" s="1"/>
  <c r="J64" i="7"/>
  <c r="P17" i="1"/>
  <c r="L58" i="7" s="1"/>
  <c r="J58" i="7"/>
  <c r="P9" i="1"/>
  <c r="L46" i="7" s="1"/>
  <c r="J46" i="7"/>
  <c r="G24" i="1"/>
  <c r="L65" i="7"/>
  <c r="G12" i="1"/>
  <c r="L47" i="7"/>
  <c r="M47" i="1"/>
  <c r="M92" i="7" s="1"/>
  <c r="M43" i="1"/>
  <c r="M86" i="7" s="1"/>
  <c r="J78" i="7"/>
  <c r="L87" i="1"/>
  <c r="L152" i="7" s="1"/>
  <c r="J72" i="1"/>
  <c r="J129" i="7" s="1"/>
  <c r="G22" i="1"/>
  <c r="L62" i="7"/>
  <c r="G14" i="1"/>
  <c r="L50" i="7"/>
  <c r="P19" i="1"/>
  <c r="L61" i="7" s="1"/>
  <c r="J61" i="7"/>
  <c r="J48" i="1"/>
  <c r="J93" i="7" s="1"/>
  <c r="J42" i="1"/>
  <c r="J84" i="7" s="1"/>
  <c r="J100" i="1"/>
  <c r="J171" i="7" s="1"/>
  <c r="G8" i="1"/>
  <c r="I8" i="1" s="1"/>
  <c r="L42" i="7" s="1"/>
  <c r="L41" i="7"/>
  <c r="P27" i="1"/>
  <c r="L73" i="7" s="1"/>
  <c r="J73" i="7"/>
  <c r="P15" i="1"/>
  <c r="L55" i="7" s="1"/>
  <c r="J55" i="7"/>
  <c r="L73" i="1"/>
  <c r="L131" i="7" s="1"/>
  <c r="L67" i="1"/>
  <c r="L122" i="7" s="1"/>
  <c r="G30" i="1"/>
  <c r="L74" i="7"/>
  <c r="G16" i="1"/>
  <c r="L53" i="7"/>
  <c r="L85" i="1"/>
  <c r="L149" i="7" s="1"/>
  <c r="L69" i="1"/>
  <c r="L125" i="7" s="1"/>
  <c r="L43" i="7"/>
  <c r="J43" i="7"/>
  <c r="Q23" i="1"/>
  <c r="M67" i="7" s="1"/>
  <c r="J67" i="7"/>
  <c r="J78" i="1"/>
  <c r="J138" i="7" s="1"/>
  <c r="M81" i="1"/>
  <c r="M143" i="7" s="1"/>
  <c r="I26" i="1"/>
  <c r="L69" i="7" s="1"/>
  <c r="G10" i="1"/>
  <c r="L44" i="7"/>
  <c r="Q25" i="1"/>
  <c r="M70" i="7" s="1"/>
  <c r="J70" i="7"/>
  <c r="Q13" i="1"/>
  <c r="M52" i="7" s="1"/>
  <c r="J52" i="7"/>
  <c r="G18" i="1"/>
  <c r="L56" i="7"/>
  <c r="H109" i="1"/>
  <c r="K109" i="1" s="1"/>
  <c r="L75" i="1"/>
  <c r="L134" i="7" s="1"/>
  <c r="M45" i="1"/>
  <c r="M89" i="7" s="1"/>
  <c r="L83" i="1"/>
  <c r="L146" i="7" s="1"/>
  <c r="G28" i="1"/>
  <c r="L71" i="7"/>
  <c r="G20" i="1"/>
  <c r="L59" i="7"/>
  <c r="J80" i="1"/>
  <c r="J141" i="7" s="1"/>
  <c r="P11" i="1"/>
  <c r="L49" i="7" s="1"/>
  <c r="Q17" i="1"/>
  <c r="M58" i="7" s="1"/>
  <c r="Q9" i="1"/>
  <c r="M46" i="7" s="1"/>
  <c r="D10" i="6"/>
  <c r="F10" i="6" s="1"/>
  <c r="I10" i="6" s="1"/>
  <c r="Q27" i="1"/>
  <c r="M73" i="7" s="1"/>
  <c r="Q19" i="1"/>
  <c r="M61" i="7" s="1"/>
  <c r="Q15" i="1"/>
  <c r="M55" i="7" s="1"/>
  <c r="D6" i="6"/>
  <c r="P23" i="1"/>
  <c r="L67" i="7" s="1"/>
  <c r="N32" i="1"/>
  <c r="Q32" i="1" s="1"/>
  <c r="G8" i="3"/>
  <c r="J8" i="3" s="1"/>
  <c r="D7" i="6"/>
  <c r="D8" i="6"/>
  <c r="F8" i="6" s="1"/>
  <c r="H8" i="6" s="1"/>
  <c r="D9" i="6"/>
  <c r="F9" i="6" s="1"/>
  <c r="H9" i="6" s="1"/>
  <c r="M80" i="7"/>
  <c r="J33" i="1"/>
  <c r="P25" i="1"/>
  <c r="L70" i="7" s="1"/>
  <c r="Q29" i="1"/>
  <c r="M76" i="7" s="1"/>
  <c r="M64" i="7"/>
  <c r="M43" i="7"/>
  <c r="J32" i="1"/>
  <c r="D124" i="1"/>
  <c r="AY37" i="1"/>
  <c r="M227" i="7" s="1"/>
  <c r="AX37" i="1"/>
  <c r="L227" i="7" s="1"/>
  <c r="BM71" i="1"/>
  <c r="G14" i="3" s="1"/>
  <c r="J14" i="3" s="1"/>
  <c r="BS37" i="1"/>
  <c r="M275" i="7" s="1"/>
  <c r="AB73" i="1"/>
  <c r="G10" i="3" s="1"/>
  <c r="BR56" i="1"/>
  <c r="L303" i="7" s="1"/>
  <c r="J151" i="7" l="1"/>
  <c r="J62" i="1"/>
  <c r="J114" i="7" s="1"/>
  <c r="J50" i="1"/>
  <c r="J96" i="7" s="1"/>
  <c r="L296" i="7"/>
  <c r="J58" i="1"/>
  <c r="J108" i="7" s="1"/>
  <c r="L251" i="7"/>
  <c r="T85" i="1"/>
  <c r="M151" i="7" s="1"/>
  <c r="J94" i="1"/>
  <c r="J162" i="7" s="1"/>
  <c r="J163" i="7"/>
  <c r="AY50" i="1"/>
  <c r="M246" i="7" s="1"/>
  <c r="AF42" i="1"/>
  <c r="M183" i="7" s="1"/>
  <c r="AF54" i="1"/>
  <c r="M201" i="7" s="1"/>
  <c r="AX52" i="1"/>
  <c r="L249" i="7" s="1"/>
  <c r="AX50" i="1"/>
  <c r="L246" i="7" s="1"/>
  <c r="AV66" i="1"/>
  <c r="J270" i="7" s="1"/>
  <c r="AY54" i="1"/>
  <c r="M252" i="7" s="1"/>
  <c r="AE54" i="1"/>
  <c r="L201" i="7" s="1"/>
  <c r="AE42" i="1"/>
  <c r="L183" i="7" s="1"/>
  <c r="AX54" i="1"/>
  <c r="L252" i="7" s="1"/>
  <c r="AY42" i="1"/>
  <c r="M234" i="7" s="1"/>
  <c r="J98" i="1"/>
  <c r="J168" i="7" s="1"/>
  <c r="L104" i="7"/>
  <c r="AX46" i="1"/>
  <c r="L240" i="7" s="1"/>
  <c r="L308" i="7"/>
  <c r="L311" i="7"/>
  <c r="S93" i="1"/>
  <c r="L163" i="7" s="1"/>
  <c r="AY46" i="1"/>
  <c r="M240" i="7" s="1"/>
  <c r="AY48" i="1"/>
  <c r="M243" i="7" s="1"/>
  <c r="AE46" i="1"/>
  <c r="L189" i="7" s="1"/>
  <c r="BS66" i="1"/>
  <c r="M318" i="7" s="1"/>
  <c r="AF68" i="1"/>
  <c r="M222" i="7" s="1"/>
  <c r="BR40" i="1"/>
  <c r="L279" i="7" s="1"/>
  <c r="AF58" i="1"/>
  <c r="M207" i="7" s="1"/>
  <c r="L266" i="7"/>
  <c r="L305" i="7"/>
  <c r="BS40" i="1"/>
  <c r="M279" i="7" s="1"/>
  <c r="AE58" i="1"/>
  <c r="L207" i="7" s="1"/>
  <c r="J44" i="1"/>
  <c r="J222" i="7"/>
  <c r="BR64" i="1"/>
  <c r="L315" i="7" s="1"/>
  <c r="J92" i="1"/>
  <c r="J159" i="7" s="1"/>
  <c r="J102" i="1"/>
  <c r="J174" i="7" s="1"/>
  <c r="AY64" i="1"/>
  <c r="M267" i="7" s="1"/>
  <c r="L272" i="7"/>
  <c r="AX64" i="1"/>
  <c r="L267" i="7" s="1"/>
  <c r="AE52" i="1"/>
  <c r="L198" i="7" s="1"/>
  <c r="BS56" i="1"/>
  <c r="M303" i="7" s="1"/>
  <c r="J219" i="7"/>
  <c r="AE66" i="1"/>
  <c r="L219" i="7" s="1"/>
  <c r="L218" i="7"/>
  <c r="BR54" i="1"/>
  <c r="L300" i="7" s="1"/>
  <c r="BS42" i="1"/>
  <c r="M282" i="7" s="1"/>
  <c r="J312" i="7"/>
  <c r="BR62" i="1"/>
  <c r="L312" i="7" s="1"/>
  <c r="BS62" i="1"/>
  <c r="M312" i="7" s="1"/>
  <c r="AX48" i="1"/>
  <c r="L243" i="7" s="1"/>
  <c r="AC38" i="1"/>
  <c r="J177" i="7" s="1"/>
  <c r="AF46" i="1"/>
  <c r="M189" i="7" s="1"/>
  <c r="BR66" i="1"/>
  <c r="L318" i="7" s="1"/>
  <c r="AX44" i="1"/>
  <c r="L237" i="7" s="1"/>
  <c r="BS60" i="1"/>
  <c r="M309" i="7" s="1"/>
  <c r="L50" i="1"/>
  <c r="L96" i="7" s="1"/>
  <c r="AF66" i="1"/>
  <c r="M219" i="7" s="1"/>
  <c r="AF52" i="1"/>
  <c r="M198" i="7" s="1"/>
  <c r="AY52" i="1"/>
  <c r="M249" i="7" s="1"/>
  <c r="AX42" i="1"/>
  <c r="L234" i="7" s="1"/>
  <c r="AY44" i="1"/>
  <c r="M237" i="7" s="1"/>
  <c r="BR60" i="1"/>
  <c r="L309" i="7" s="1"/>
  <c r="J54" i="1"/>
  <c r="M54" i="1" s="1"/>
  <c r="M102" i="7" s="1"/>
  <c r="J306" i="7"/>
  <c r="BS58" i="1"/>
  <c r="M306" i="7" s="1"/>
  <c r="BR58" i="1"/>
  <c r="L306" i="7" s="1"/>
  <c r="AY62" i="1"/>
  <c r="M264" i="7" s="1"/>
  <c r="BS52" i="1"/>
  <c r="M297" i="7" s="1"/>
  <c r="AE44" i="1"/>
  <c r="L186" i="7" s="1"/>
  <c r="BR46" i="1"/>
  <c r="L288" i="7" s="1"/>
  <c r="BR52" i="1"/>
  <c r="L297" i="7" s="1"/>
  <c r="AF44" i="1"/>
  <c r="M186" i="7" s="1"/>
  <c r="BS46" i="1"/>
  <c r="M288" i="7" s="1"/>
  <c r="AX62" i="1"/>
  <c r="L264" i="7" s="1"/>
  <c r="J52" i="1"/>
  <c r="L52" i="1" s="1"/>
  <c r="L99" i="7" s="1"/>
  <c r="BS54" i="1"/>
  <c r="M300" i="7" s="1"/>
  <c r="BR42" i="1"/>
  <c r="L282" i="7" s="1"/>
  <c r="BS64" i="1"/>
  <c r="M315" i="7" s="1"/>
  <c r="L155" i="7"/>
  <c r="J90" i="1"/>
  <c r="J156" i="7" s="1"/>
  <c r="BS44" i="1"/>
  <c r="M285" i="7" s="1"/>
  <c r="J64" i="1"/>
  <c r="J117" i="7" s="1"/>
  <c r="BR48" i="1"/>
  <c r="L291" i="7" s="1"/>
  <c r="BR44" i="1"/>
  <c r="L285" i="7" s="1"/>
  <c r="J142" i="7"/>
  <c r="S79" i="1"/>
  <c r="L142" i="7" s="1"/>
  <c r="T79" i="1"/>
  <c r="M142" i="7" s="1"/>
  <c r="AL61" i="1"/>
  <c r="L214" i="7" s="1"/>
  <c r="J214" i="7"/>
  <c r="AM61" i="1"/>
  <c r="M214" i="7" s="1"/>
  <c r="AL59" i="1"/>
  <c r="L211" i="7" s="1"/>
  <c r="J211" i="7"/>
  <c r="AM59" i="1"/>
  <c r="M211" i="7" s="1"/>
  <c r="AC62" i="1"/>
  <c r="L212" i="7"/>
  <c r="J181" i="7"/>
  <c r="AL39" i="1"/>
  <c r="L181" i="7" s="1"/>
  <c r="AM39" i="1"/>
  <c r="M181" i="7" s="1"/>
  <c r="J247" i="7"/>
  <c r="BE49" i="1"/>
  <c r="L247" i="7" s="1"/>
  <c r="BF49" i="1"/>
  <c r="M247" i="7" s="1"/>
  <c r="AL69" i="1"/>
  <c r="L226" i="7" s="1"/>
  <c r="J226" i="7"/>
  <c r="AM69" i="1"/>
  <c r="M226" i="7" s="1"/>
  <c r="AM41" i="1"/>
  <c r="M184" i="7" s="1"/>
  <c r="J184" i="7"/>
  <c r="AL41" i="1"/>
  <c r="L184" i="7" s="1"/>
  <c r="J289" i="7"/>
  <c r="BY45" i="1"/>
  <c r="L289" i="7" s="1"/>
  <c r="BZ45" i="1"/>
  <c r="M289" i="7" s="1"/>
  <c r="L224" i="7"/>
  <c r="AC70" i="1"/>
  <c r="J166" i="7"/>
  <c r="T95" i="1"/>
  <c r="M166" i="7" s="1"/>
  <c r="S95" i="1"/>
  <c r="L166" i="7" s="1"/>
  <c r="BY41" i="1"/>
  <c r="L283" i="7" s="1"/>
  <c r="J283" i="7"/>
  <c r="BZ41" i="1"/>
  <c r="M283" i="7" s="1"/>
  <c r="J220" i="7"/>
  <c r="AM65" i="1"/>
  <c r="M220" i="7" s="1"/>
  <c r="AL65" i="1"/>
  <c r="L220" i="7" s="1"/>
  <c r="J148" i="7"/>
  <c r="T83" i="1"/>
  <c r="M148" i="7" s="1"/>
  <c r="S83" i="1"/>
  <c r="L148" i="7" s="1"/>
  <c r="J307" i="7"/>
  <c r="BY57" i="1"/>
  <c r="L307" i="7" s="1"/>
  <c r="BZ57" i="1"/>
  <c r="M307" i="7" s="1"/>
  <c r="J193" i="7"/>
  <c r="AL47" i="1"/>
  <c r="L193" i="7" s="1"/>
  <c r="AM47" i="1"/>
  <c r="M193" i="7" s="1"/>
  <c r="J154" i="7"/>
  <c r="T87" i="1"/>
  <c r="M154" i="7" s="1"/>
  <c r="S87" i="1"/>
  <c r="L154" i="7" s="1"/>
  <c r="AF40" i="1"/>
  <c r="M180" i="7" s="1"/>
  <c r="J180" i="7"/>
  <c r="AC48" i="1"/>
  <c r="L191" i="7"/>
  <c r="J232" i="7"/>
  <c r="BE39" i="1"/>
  <c r="L232" i="7" s="1"/>
  <c r="BF39" i="1"/>
  <c r="M232" i="7" s="1"/>
  <c r="AL53" i="1"/>
  <c r="L202" i="7" s="1"/>
  <c r="J202" i="7"/>
  <c r="AM53" i="1"/>
  <c r="M202" i="7" s="1"/>
  <c r="J79" i="7"/>
  <c r="T37" i="1"/>
  <c r="M79" i="7" s="1"/>
  <c r="S37" i="1"/>
  <c r="L79" i="7" s="1"/>
  <c r="AV40" i="1"/>
  <c r="L230" i="7"/>
  <c r="AL49" i="1"/>
  <c r="L196" i="7" s="1"/>
  <c r="J196" i="7"/>
  <c r="AM49" i="1"/>
  <c r="M196" i="7" s="1"/>
  <c r="AC60" i="1"/>
  <c r="L209" i="7"/>
  <c r="O110" i="1"/>
  <c r="I328" i="7"/>
  <c r="AL67" i="1"/>
  <c r="L223" i="7" s="1"/>
  <c r="J223" i="7"/>
  <c r="AM67" i="1"/>
  <c r="M223" i="7" s="1"/>
  <c r="J271" i="7"/>
  <c r="BE65" i="1"/>
  <c r="L271" i="7" s="1"/>
  <c r="BF65" i="1"/>
  <c r="M271" i="7" s="1"/>
  <c r="BF43" i="1"/>
  <c r="M238" i="7" s="1"/>
  <c r="J238" i="7"/>
  <c r="BE43" i="1"/>
  <c r="L238" i="7" s="1"/>
  <c r="J253" i="7"/>
  <c r="BE53" i="1"/>
  <c r="L253" i="7" s="1"/>
  <c r="BF53" i="1"/>
  <c r="M253" i="7" s="1"/>
  <c r="J265" i="7"/>
  <c r="BE61" i="1"/>
  <c r="L265" i="7" s="1"/>
  <c r="BF61" i="1"/>
  <c r="M265" i="7" s="1"/>
  <c r="J244" i="7"/>
  <c r="BE47" i="1"/>
  <c r="L244" i="7" s="1"/>
  <c r="BF47" i="1"/>
  <c r="M244" i="7" s="1"/>
  <c r="J235" i="7"/>
  <c r="BE41" i="1"/>
  <c r="L235" i="7" s="1"/>
  <c r="BF41" i="1"/>
  <c r="M235" i="7" s="1"/>
  <c r="J241" i="7"/>
  <c r="BE45" i="1"/>
  <c r="L241" i="7" s="1"/>
  <c r="BF45" i="1"/>
  <c r="M241" i="7" s="1"/>
  <c r="J229" i="7"/>
  <c r="BE37" i="1"/>
  <c r="L229" i="7" s="1"/>
  <c r="BF37" i="1"/>
  <c r="M229" i="7" s="1"/>
  <c r="J160" i="7"/>
  <c r="T91" i="1"/>
  <c r="M160" i="7" s="1"/>
  <c r="S91" i="1"/>
  <c r="L160" i="7" s="1"/>
  <c r="J217" i="7"/>
  <c r="AL63" i="1"/>
  <c r="L217" i="7" s="1"/>
  <c r="T99" i="1"/>
  <c r="M172" i="7" s="1"/>
  <c r="S99" i="1"/>
  <c r="L172" i="7" s="1"/>
  <c r="J172" i="7"/>
  <c r="BY39" i="1"/>
  <c r="L280" i="7" s="1"/>
  <c r="J280" i="7"/>
  <c r="BZ39" i="1"/>
  <c r="M280" i="7" s="1"/>
  <c r="AL43" i="1"/>
  <c r="L187" i="7" s="1"/>
  <c r="AM43" i="1"/>
  <c r="M187" i="7" s="1"/>
  <c r="J187" i="7"/>
  <c r="G16" i="3"/>
  <c r="E11" i="6"/>
  <c r="J259" i="7"/>
  <c r="BF57" i="1"/>
  <c r="M259" i="7" s="1"/>
  <c r="BE57" i="1"/>
  <c r="L259" i="7" s="1"/>
  <c r="J319" i="7"/>
  <c r="BY65" i="1"/>
  <c r="L319" i="7" s="1"/>
  <c r="BZ65" i="1"/>
  <c r="M319" i="7" s="1"/>
  <c r="AC56" i="1"/>
  <c r="L203" i="7"/>
  <c r="J274" i="7"/>
  <c r="BE67" i="1"/>
  <c r="L274" i="7" s="1"/>
  <c r="BF67" i="1"/>
  <c r="M274" i="7" s="1"/>
  <c r="J82" i="7"/>
  <c r="S39" i="1"/>
  <c r="L82" i="7" s="1"/>
  <c r="J216" i="7"/>
  <c r="AF64" i="1"/>
  <c r="M216" i="7" s="1"/>
  <c r="J205" i="7"/>
  <c r="AL55" i="1"/>
  <c r="L205" i="7" s="1"/>
  <c r="AM55" i="1"/>
  <c r="M205" i="7" s="1"/>
  <c r="J250" i="7"/>
  <c r="BF51" i="1"/>
  <c r="M250" i="7" s="1"/>
  <c r="BE51" i="1"/>
  <c r="L250" i="7" s="1"/>
  <c r="BY37" i="1"/>
  <c r="L277" i="7" s="1"/>
  <c r="J277" i="7"/>
  <c r="BZ37" i="1"/>
  <c r="M277" i="7" s="1"/>
  <c r="J178" i="7"/>
  <c r="AL37" i="1"/>
  <c r="L178" i="7" s="1"/>
  <c r="AM37" i="1"/>
  <c r="M178" i="7" s="1"/>
  <c r="BY51" i="1"/>
  <c r="L298" i="7" s="1"/>
  <c r="J298" i="7"/>
  <c r="BZ51" i="1"/>
  <c r="M298" i="7" s="1"/>
  <c r="J292" i="7"/>
  <c r="BY47" i="1"/>
  <c r="L292" i="7" s="1"/>
  <c r="BZ47" i="1"/>
  <c r="M292" i="7" s="1"/>
  <c r="AC50" i="1"/>
  <c r="L194" i="7"/>
  <c r="AL57" i="1"/>
  <c r="L208" i="7" s="1"/>
  <c r="J208" i="7"/>
  <c r="AM57" i="1"/>
  <c r="M208" i="7" s="1"/>
  <c r="BY61" i="1"/>
  <c r="L313" i="7" s="1"/>
  <c r="J313" i="7"/>
  <c r="BZ61" i="1"/>
  <c r="M313" i="7" s="1"/>
  <c r="J326" i="7"/>
  <c r="J110" i="1"/>
  <c r="BZ59" i="1"/>
  <c r="M310" i="7" s="1"/>
  <c r="BY59" i="1"/>
  <c r="L310" i="7" s="1"/>
  <c r="J310" i="7"/>
  <c r="J190" i="7"/>
  <c r="AL45" i="1"/>
  <c r="L190" i="7" s="1"/>
  <c r="AM45" i="1"/>
  <c r="M190" i="7" s="1"/>
  <c r="J268" i="7"/>
  <c r="BE63" i="1"/>
  <c r="L268" i="7" s="1"/>
  <c r="BF63" i="1"/>
  <c r="M268" i="7" s="1"/>
  <c r="BS48" i="1"/>
  <c r="M291" i="7" s="1"/>
  <c r="K104" i="1"/>
  <c r="L42" i="1"/>
  <c r="L84" i="7" s="1"/>
  <c r="M42" i="1"/>
  <c r="M84" i="7" s="1"/>
  <c r="J96" i="1"/>
  <c r="J165" i="7" s="1"/>
  <c r="L164" i="7"/>
  <c r="M56" i="1"/>
  <c r="M105" i="7" s="1"/>
  <c r="BR50" i="1"/>
  <c r="L294" i="7" s="1"/>
  <c r="L46" i="1"/>
  <c r="L90" i="7" s="1"/>
  <c r="M46" i="1"/>
  <c r="M90" i="7" s="1"/>
  <c r="AY58" i="1"/>
  <c r="M258" i="7" s="1"/>
  <c r="AX58" i="1"/>
  <c r="L258" i="7" s="1"/>
  <c r="AY56" i="1"/>
  <c r="M255" i="7" s="1"/>
  <c r="AX56" i="1"/>
  <c r="L255" i="7" s="1"/>
  <c r="AY68" i="1"/>
  <c r="M273" i="7" s="1"/>
  <c r="AX68" i="1"/>
  <c r="L273" i="7" s="1"/>
  <c r="BS50" i="1"/>
  <c r="M294" i="7" s="1"/>
  <c r="F7" i="6"/>
  <c r="J332" i="7" s="1"/>
  <c r="H332" i="7"/>
  <c r="L143" i="7"/>
  <c r="I331" i="7"/>
  <c r="F6" i="6"/>
  <c r="H6" i="6" s="1"/>
  <c r="L331" i="7" s="1"/>
  <c r="J60" i="1"/>
  <c r="J111" i="7" s="1"/>
  <c r="L110" i="7"/>
  <c r="H331" i="7"/>
  <c r="M324" i="7"/>
  <c r="J324" i="7"/>
  <c r="M50" i="1"/>
  <c r="M96" i="7" s="1"/>
  <c r="L56" i="1"/>
  <c r="L105" i="7" s="1"/>
  <c r="M117" i="7"/>
  <c r="J109" i="1"/>
  <c r="L324" i="7" s="1"/>
  <c r="L102" i="1"/>
  <c r="L174" i="7" s="1"/>
  <c r="M102" i="1"/>
  <c r="M174" i="7" s="1"/>
  <c r="L100" i="1"/>
  <c r="L171" i="7" s="1"/>
  <c r="M100" i="1"/>
  <c r="M171" i="7" s="1"/>
  <c r="L44" i="1"/>
  <c r="L87" i="7" s="1"/>
  <c r="M62" i="1"/>
  <c r="M114" i="7" s="1"/>
  <c r="J60" i="7"/>
  <c r="J20" i="1"/>
  <c r="M60" i="7" s="1"/>
  <c r="I20" i="1"/>
  <c r="L60" i="7" s="1"/>
  <c r="J84" i="1"/>
  <c r="J147" i="7" s="1"/>
  <c r="J10" i="1"/>
  <c r="M45" i="7" s="1"/>
  <c r="J45" i="7"/>
  <c r="J82" i="1"/>
  <c r="J144" i="7" s="1"/>
  <c r="J86" i="1"/>
  <c r="J150" i="7" s="1"/>
  <c r="J75" i="7"/>
  <c r="I30" i="1"/>
  <c r="L75" i="7" s="1"/>
  <c r="J30" i="1"/>
  <c r="M75" i="7" s="1"/>
  <c r="J74" i="1"/>
  <c r="J132" i="7" s="1"/>
  <c r="L48" i="1"/>
  <c r="L93" i="7" s="1"/>
  <c r="J63" i="7"/>
  <c r="I22" i="1"/>
  <c r="L63" i="7" s="1"/>
  <c r="J22" i="1"/>
  <c r="M63" i="7" s="1"/>
  <c r="J88" i="1"/>
  <c r="J153" i="7" s="1"/>
  <c r="J48" i="7"/>
  <c r="J12" i="1"/>
  <c r="M48" i="7" s="1"/>
  <c r="I12" i="1"/>
  <c r="L48" i="7" s="1"/>
  <c r="J40" i="1"/>
  <c r="M58" i="1"/>
  <c r="M108" i="7" s="1"/>
  <c r="L62" i="1"/>
  <c r="L114" i="7" s="1"/>
  <c r="L58" i="1"/>
  <c r="L108" i="7" s="1"/>
  <c r="J72" i="7"/>
  <c r="J28" i="1"/>
  <c r="M72" i="7" s="1"/>
  <c r="I28" i="1"/>
  <c r="L72" i="7" s="1"/>
  <c r="J76" i="1"/>
  <c r="J135" i="7" s="1"/>
  <c r="J57" i="7"/>
  <c r="I18" i="1"/>
  <c r="L57" i="7" s="1"/>
  <c r="J18" i="1"/>
  <c r="M57" i="7" s="1"/>
  <c r="M78" i="1"/>
  <c r="M138" i="7" s="1"/>
  <c r="L78" i="1"/>
  <c r="L138" i="7" s="1"/>
  <c r="J70" i="1"/>
  <c r="J126" i="7" s="1"/>
  <c r="J54" i="7"/>
  <c r="J16" i="1"/>
  <c r="M54" i="7" s="1"/>
  <c r="I16" i="1"/>
  <c r="L54" i="7" s="1"/>
  <c r="J68" i="1"/>
  <c r="J123" i="7" s="1"/>
  <c r="J8" i="1"/>
  <c r="M42" i="7" s="1"/>
  <c r="J42" i="7"/>
  <c r="J51" i="7"/>
  <c r="I14" i="1"/>
  <c r="L51" i="7" s="1"/>
  <c r="J14" i="1"/>
  <c r="M51" i="7" s="1"/>
  <c r="L72" i="1"/>
  <c r="L129" i="7" s="1"/>
  <c r="J66" i="7"/>
  <c r="J24" i="1"/>
  <c r="M66" i="7" s="1"/>
  <c r="I24" i="1"/>
  <c r="L66" i="7" s="1"/>
  <c r="J66" i="1"/>
  <c r="J120" i="7" s="1"/>
  <c r="L80" i="1"/>
  <c r="L141" i="7" s="1"/>
  <c r="M80" i="1"/>
  <c r="M141" i="7" s="1"/>
  <c r="AV71" i="1"/>
  <c r="AV38" i="1"/>
  <c r="H10" i="6"/>
  <c r="I8" i="3"/>
  <c r="G9" i="3" s="1"/>
  <c r="I9" i="3" s="1"/>
  <c r="P32" i="1"/>
  <c r="I9" i="6"/>
  <c r="I8" i="6"/>
  <c r="J6" i="3"/>
  <c r="I7" i="3"/>
  <c r="J7" i="3"/>
  <c r="I14" i="3"/>
  <c r="I12" i="3"/>
  <c r="J12" i="3"/>
  <c r="I10" i="3"/>
  <c r="J10" i="3"/>
  <c r="AD73" i="1"/>
  <c r="BO71" i="1"/>
  <c r="BP38" i="1"/>
  <c r="J276" i="7" s="1"/>
  <c r="M94" i="1" l="1"/>
  <c r="M162" i="7" s="1"/>
  <c r="L94" i="1"/>
  <c r="L162" i="7" s="1"/>
  <c r="M98" i="1"/>
  <c r="M168" i="7" s="1"/>
  <c r="L98" i="1"/>
  <c r="L168" i="7" s="1"/>
  <c r="AY66" i="1"/>
  <c r="M270" i="7" s="1"/>
  <c r="AX66" i="1"/>
  <c r="L270" i="7" s="1"/>
  <c r="L92" i="1"/>
  <c r="L159" i="7" s="1"/>
  <c r="M92" i="1"/>
  <c r="M159" i="7" s="1"/>
  <c r="J87" i="7"/>
  <c r="M44" i="1"/>
  <c r="M87" i="7" s="1"/>
  <c r="I6" i="6"/>
  <c r="M331" i="7" s="1"/>
  <c r="J102" i="7"/>
  <c r="L54" i="1"/>
  <c r="L102" i="7" s="1"/>
  <c r="L96" i="1"/>
  <c r="L165" i="7" s="1"/>
  <c r="J99" i="7"/>
  <c r="M52" i="1"/>
  <c r="M99" i="7" s="1"/>
  <c r="L64" i="1"/>
  <c r="L117" i="7" s="1"/>
  <c r="M96" i="1"/>
  <c r="M165" i="7" s="1"/>
  <c r="AE50" i="1"/>
  <c r="L195" i="7" s="1"/>
  <c r="J195" i="7"/>
  <c r="AE60" i="1"/>
  <c r="L210" i="7" s="1"/>
  <c r="J210" i="7"/>
  <c r="J192" i="7"/>
  <c r="AE48" i="1"/>
  <c r="L192" i="7" s="1"/>
  <c r="AF48" i="1"/>
  <c r="M192" i="7" s="1"/>
  <c r="J225" i="7"/>
  <c r="AE70" i="1"/>
  <c r="L225" i="7" s="1"/>
  <c r="AF70" i="1"/>
  <c r="M225" i="7" s="1"/>
  <c r="J231" i="7"/>
  <c r="AX40" i="1"/>
  <c r="L231" i="7" s="1"/>
  <c r="AY40" i="1"/>
  <c r="M231" i="7" s="1"/>
  <c r="I333" i="7"/>
  <c r="F11" i="6"/>
  <c r="Q110" i="1"/>
  <c r="L328" i="7" s="1"/>
  <c r="J328" i="7"/>
  <c r="R110" i="1"/>
  <c r="M328" i="7" s="1"/>
  <c r="AF62" i="1"/>
  <c r="M213" i="7" s="1"/>
  <c r="J213" i="7"/>
  <c r="AE62" i="1"/>
  <c r="L213" i="7" s="1"/>
  <c r="L326" i="7"/>
  <c r="H111" i="1"/>
  <c r="J204" i="7"/>
  <c r="AE56" i="1"/>
  <c r="L204" i="7" s="1"/>
  <c r="AF56" i="1"/>
  <c r="M204" i="7" s="1"/>
  <c r="J16" i="3"/>
  <c r="I16" i="3"/>
  <c r="G17" i="3" s="1"/>
  <c r="I105" i="1"/>
  <c r="J81" i="7"/>
  <c r="M40" i="1"/>
  <c r="H7" i="6"/>
  <c r="L332" i="7" s="1"/>
  <c r="I7" i="6"/>
  <c r="M332" i="7" s="1"/>
  <c r="AT72" i="1"/>
  <c r="G13" i="3" s="1"/>
  <c r="J228" i="7"/>
  <c r="J331" i="7"/>
  <c r="L60" i="1"/>
  <c r="L111" i="7" s="1"/>
  <c r="M60" i="1"/>
  <c r="M111" i="7" s="1"/>
  <c r="L66" i="1"/>
  <c r="L120" i="7" s="1"/>
  <c r="M120" i="7"/>
  <c r="M70" i="1"/>
  <c r="M126" i="7" s="1"/>
  <c r="L70" i="1"/>
  <c r="L126" i="7" s="1"/>
  <c r="L82" i="1"/>
  <c r="M82" i="1"/>
  <c r="M144" i="7" s="1"/>
  <c r="M90" i="1"/>
  <c r="M156" i="7" s="1"/>
  <c r="L90" i="1"/>
  <c r="L156" i="7" s="1"/>
  <c r="L74" i="1"/>
  <c r="L132" i="7" s="1"/>
  <c r="M74" i="1"/>
  <c r="M132" i="7" s="1"/>
  <c r="L68" i="1"/>
  <c r="L123" i="7" s="1"/>
  <c r="M68" i="1"/>
  <c r="M123" i="7" s="1"/>
  <c r="L88" i="1"/>
  <c r="L153" i="7" s="1"/>
  <c r="M86" i="1"/>
  <c r="M150" i="7" s="1"/>
  <c r="L86" i="1"/>
  <c r="L150" i="7" s="1"/>
  <c r="L84" i="1"/>
  <c r="L147" i="7" s="1"/>
  <c r="M84" i="1"/>
  <c r="M147" i="7" s="1"/>
  <c r="L76" i="1"/>
  <c r="L135" i="7" s="1"/>
  <c r="M76" i="1"/>
  <c r="M135" i="7" s="1"/>
  <c r="L40" i="1"/>
  <c r="L81" i="7" s="1"/>
  <c r="M81" i="7"/>
  <c r="J9" i="3"/>
  <c r="L38" i="1"/>
  <c r="AB74" i="1"/>
  <c r="G11" i="3" s="1"/>
  <c r="AE38" i="1"/>
  <c r="L177" i="7" s="1"/>
  <c r="AF38" i="1"/>
  <c r="M177" i="7" s="1"/>
  <c r="AX38" i="1"/>
  <c r="AY38" i="1"/>
  <c r="M228" i="7" s="1"/>
  <c r="BM72" i="1"/>
  <c r="G15" i="3" s="1"/>
  <c r="J15" i="3" s="1"/>
  <c r="BR38" i="1"/>
  <c r="L276" i="7" s="1"/>
  <c r="BS38" i="1"/>
  <c r="M276" i="7" s="1"/>
  <c r="J327" i="7" l="1"/>
  <c r="J111" i="1"/>
  <c r="L327" i="7" s="1"/>
  <c r="K111" i="1"/>
  <c r="M327" i="7" s="1"/>
  <c r="H11" i="6"/>
  <c r="L333" i="7" s="1"/>
  <c r="J333" i="7"/>
  <c r="I11" i="6"/>
  <c r="M333" i="7" s="1"/>
  <c r="I17" i="3"/>
  <c r="J17" i="3"/>
  <c r="L78" i="7"/>
  <c r="K105" i="1"/>
  <c r="AV72" i="1"/>
  <c r="L228" i="7"/>
  <c r="L144" i="7"/>
  <c r="I15" i="3"/>
  <c r="J13" i="3"/>
  <c r="I13" i="3"/>
  <c r="I11" i="3"/>
  <c r="J11" i="3"/>
  <c r="BO72" i="1"/>
  <c r="AD74" i="1"/>
</calcChain>
</file>

<file path=xl/comments1.xml><?xml version="1.0" encoding="utf-8"?>
<comments xmlns="http://schemas.openxmlformats.org/spreadsheetml/2006/main">
  <authors>
    <author>CEA TELLO, MARIO ANDRES</author>
    <author>mmendoza</author>
    <author>Kamila Molina</author>
    <author>practicascc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Calibri"/>
            <family val="2"/>
            <scheme val="minor"/>
          </rPr>
          <t>( C ) Cesion de 80 Ton a  Pesquera Sur Austral  (Res N°1886-18)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Res. Ex. N° 1577 modifica cuota de 395,898 a 509,898 Ton.</t>
        </r>
      </text>
    </comment>
    <comment ref="F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Calibri"/>
            <family val="2"/>
            <scheme val="minor"/>
          </rPr>
          <t xml:space="preserve"> ( C ) Cesion de 180 Ton a Pesquera Sur Austral S.A. NE (Res N°771-18)
 ( C ) Cesion de 120 Ton a Pesquera Sur Austral S.A. NE (Res N°1295-18)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Res. Ex. N° 1577 modifica cuota de 227,639 a 113,639 Ton.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 ( C ) Cesion de 77 Ton a Pesquera Grimar S.A. NE (Res N°3590-18)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1838-18  modifica cuota de 153,234  a 197,289  Ton.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1838-18  modifica cuota de 88,109  a 44,054  Ton.</t>
        </r>
      </text>
    </comment>
    <comment ref="E13" authorId="2" shapeId="0">
      <text>
        <r>
          <rPr>
            <b/>
            <sz val="9"/>
            <color indexed="81"/>
            <rFont val="Tahoma"/>
            <family val="2"/>
          </rPr>
          <t>Kamila Molina: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Res. Ex. N° 2437-18  modifica cuota de 272,301  a 350,587  Ton.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Cierre Periodo 52612 (13-06-2018)
Apertura Periodo 52973 (09-07-2018)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</rPr>
          <t>Kamila Molina: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Res. Ex. N° 2437-18  modifica cuota de 156,571  a 78,285  Ton.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1962-18  modifica cuota de 1296,282 a 1668,959 Ton.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Res. Ex. N° 1962-18 modifica cuota de 745,354 a 372,677 Ton.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1706 modifica cuota de 453,426 a 583,784 Ton.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Calibri"/>
            <family val="2"/>
            <scheme val="minor"/>
          </rPr>
          <t>( C ) Cesion de 500  Ton a EMDEPES S.A. NE (Res N°1204-18)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Cierre Periodo 51772 (12-04-2018)
Apertura Periodo 52187 (10-05-2018)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Res. Ex. N° 1706 modifica cuota de 260,717 a 130,359 Ton.</t>
        </r>
      </text>
    </comment>
    <comment ref="F24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 ( C ) Cesion de 122,223 Ton a Pesquera Sur Austral S.A. NE (Res N°4348-18)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 xml:space="preserve">CEA TELLO, MARIO ANDRES:
</t>
        </r>
        <r>
          <rPr>
            <b/>
            <sz val="11"/>
            <color indexed="81"/>
            <rFont val="Calibri"/>
            <family val="2"/>
            <scheme val="minor"/>
          </rPr>
          <t xml:space="preserve">( C ) </t>
        </r>
        <r>
          <rPr>
            <sz val="11"/>
            <color indexed="81"/>
            <rFont val="Calibri"/>
            <family val="2"/>
            <scheme val="minor"/>
          </rPr>
          <t>Cesion de 99  Ton a  Pesquera Grimar  (Res N°823-18)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51255 (08-03-2018)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( C ) Cesion de 9,1  Ton a  Pesquera Grimar NE  (Res N°3675-18)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( C ) Cesion de 77,777 Ton a  Pesquera Grimar NE  (Res N°4350-18)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50508 (17-01-2018)</t>
        </r>
      </text>
    </comment>
    <comment ref="I3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( C ) </t>
        </r>
        <r>
          <rPr>
            <sz val="11"/>
            <color indexed="81"/>
            <rFont val="Calibri"/>
            <family val="2"/>
            <scheme val="minor"/>
          </rPr>
          <t>Cesion de 36,975 Ton a Pesquera Sur Austral NE (Res N°759-18)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AB3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81,340 ton a Emdepes. Res N°505-18 mod por Res N°610-18 </t>
        </r>
      </text>
    </comment>
    <comment ref="AG3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( C ) Cesion de 3,4 Ton a Pesquera Sur Austral NE (Res N°3780-18)</t>
        </r>
      </text>
    </comment>
    <comment ref="I3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( C ) </t>
        </r>
        <r>
          <rPr>
            <sz val="11"/>
            <color indexed="81"/>
            <rFont val="Calibri"/>
            <family val="2"/>
            <scheme val="minor"/>
          </rPr>
          <t>Cesión de 48,029 Ton a  Pesquera Sur Austral NE (Res N°762-18). Se aplica Art. 55N (48,029-0,039=</t>
        </r>
        <r>
          <rPr>
            <b/>
            <sz val="11"/>
            <color indexed="81"/>
            <rFont val="Calibri"/>
            <family val="2"/>
            <scheme val="minor"/>
          </rPr>
          <t xml:space="preserve">47,99 </t>
        </r>
        <r>
          <rPr>
            <sz val="11"/>
            <color indexed="81"/>
            <rFont val="Calibri"/>
            <family val="2"/>
            <scheme val="minor"/>
          </rPr>
          <t>Ton)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B3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36,138 ton a Emdepes. Res N°505-18 mod por Res N°610-18 </t>
        </r>
      </text>
    </comment>
    <comment ref="AG3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AU3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Cesion de 51,721 t a LTP Grimar NE. Res N°791-18</t>
        </r>
      </text>
    </comment>
    <comment ref="AZ3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BJ39" authorId="3" shapeId="0">
      <text>
        <r>
          <rPr>
            <b/>
            <sz val="12"/>
            <color indexed="81"/>
            <rFont val="Tahoma"/>
            <family val="2"/>
          </rPr>
          <t>practicascc:</t>
        </r>
        <r>
          <rPr>
            <sz val="12"/>
            <color indexed="81"/>
            <rFont val="Tahoma"/>
            <family val="2"/>
          </rPr>
          <t xml:space="preserve">
RSU Modificado por RES Nª 504-18 que Rectifica la 35-18</t>
        </r>
      </text>
    </comment>
    <comment ref="BO3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Cesion de 53,432 t a LTP Grimar NE. (Res N°824-18) </t>
        </r>
      </text>
    </comment>
    <comment ref="BT3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Cierre Periodo 15565 (08-03-2018)</t>
        </r>
      </text>
    </comment>
    <comment ref="AG4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BO4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Cesion de 4,431 Ton a  Emdepes S.A. SE. (Res N°824-18) 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B41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21,389 ton a Emdepes. Res N°505-18 mod por Res N°610-18 </t>
        </r>
      </text>
    </comment>
    <comment ref="AG4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BO41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Cesion de 74,040 Ton a LTP Emdepes NE. Res N°793-18
Res. 1034-18 Mod. Res. 793-18 a 73,586 Ton</t>
        </r>
      </text>
    </comment>
    <comment ref="BT4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Cierre Periodo 15554 (07-03-2018)</t>
        </r>
      </text>
    </comment>
    <comment ref="AB4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( C )  Cede 6,225 a Pesq. Grimar NE (Res. Ex. N° 3781-2018).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15862 (16-04-2018)</t>
        </r>
      </text>
    </comment>
    <comment ref="AB4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( C )  Cede 48,589 a EMDEPES S.A. (Res. Ex. N° 718-2018).
</t>
        </r>
        <r>
          <rPr>
            <b/>
            <sz val="12"/>
            <color indexed="81"/>
            <rFont val="Tahoma"/>
            <family val="2"/>
          </rPr>
          <t>(S) Descuento (monetario) por Sanción (Res. Ex N° 2783)</t>
        </r>
      </text>
    </comment>
    <comment ref="AG4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AU4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 C )  Cede 89,903 a Emdepes NE . (Res. Ex. N° 1032-2018)</t>
        </r>
      </text>
    </comment>
    <comment ref="AZ4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 Periodo 15691  (20-03-2018)</t>
        </r>
      </text>
    </comment>
    <comment ref="BN4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1839-18  modifica cuota de 73,188 a 115,260 Ton.</t>
        </r>
      </text>
    </comment>
    <comment ref="BO4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Cesion de 99,486 Ton a Pesquera Sur Austral S.A. NE Res N°1208-18</t>
        </r>
      </text>
    </comment>
    <comment ref="BT4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Cierre Periodo 15839 (10-04-2018)
Apertura Periodo 16003 (17-05-2018)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 C ) Cesión de 2,270 Ton a Pesquera  Sur Austral  NE (Res N°1340-18)</t>
        </r>
      </text>
    </comment>
    <comment ref="AB4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( C )  Cede 1,736 a EMDEPES S.A. NE (Res. Ex. N° 1642-2018).</t>
        </r>
      </text>
    </comment>
    <comment ref="AU4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(C)  Cede 1,287 Ton a Emdepes SE . (Res. Ex.N° 4292-18)</t>
        </r>
      </text>
    </comment>
    <comment ref="BN4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Res. Ex. N° 1839-18  modifica cuota de 42,073 a 0,001 Ton.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</rPr>
          <t xml:space="preserve">CEA TELLO, MARIO ANDRES:
</t>
        </r>
        <r>
          <rPr>
            <sz val="9"/>
            <color indexed="81"/>
            <rFont val="Tahoma"/>
            <family val="2"/>
          </rPr>
          <t>(D)</t>
        </r>
        <r>
          <rPr>
            <sz val="11"/>
            <color indexed="81"/>
            <rFont val="Calibri"/>
            <family val="2"/>
            <scheme val="minor"/>
          </rPr>
          <t>Descuento por Exceso 0,314 Ton (Res N°2013-18)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Cierre Periodo 16000 (16-05-2018)</t>
        </r>
      </text>
    </comment>
    <comment ref="AB4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21,716 ton a Emdepes. Res N°505-18 mod por Res N°610-18 </t>
        </r>
      </text>
    </comment>
    <comment ref="AG4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AU45" authorId="1" shapeId="0">
      <text>
        <r>
          <rPr>
            <b/>
            <sz val="11"/>
            <color indexed="81"/>
            <rFont val="Tahoma"/>
            <family val="2"/>
          </rPr>
          <t>mmendoza:</t>
        </r>
        <r>
          <rPr>
            <sz val="11"/>
            <color indexed="81"/>
            <rFont val="Tahoma"/>
            <family val="2"/>
          </rPr>
          <t xml:space="preserve">
( C )  Cede 53,488 a GRIMAR S.A. PESQ. (Res. Ex. N° 719-2018).</t>
        </r>
      </text>
    </comment>
    <comment ref="AZ4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BO4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63,353 ton a Emdepes. Res N°505-18 mod por Res N°610-18 
</t>
        </r>
      </text>
    </comment>
    <comment ref="BT4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AG4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U4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 C )  Cede 7,198 Ton a GRIMAR S.A.(Res. Ex. N° 4313-18)</t>
        </r>
      </text>
    </comment>
    <comment ref="BO4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(D) Descuento  de 1,129 Ton. (Res. Ex. N° 1247-18)</t>
        </r>
      </text>
    </comment>
    <comment ref="I4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( C ) </t>
        </r>
        <r>
          <rPr>
            <sz val="11"/>
            <color indexed="81"/>
            <rFont val="Calibri"/>
            <family val="2"/>
            <scheme val="minor"/>
          </rPr>
          <t xml:space="preserve">Cesión de 5,819 Ton a Pesquera Grimar S.A. NE (Res N°760-18) 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B4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Descuento de 0,127 ton, Sanción según Res Ex N°219-18
</t>
        </r>
        <r>
          <rPr>
            <sz val="12"/>
            <color indexed="81"/>
            <rFont val="Tahoma"/>
            <family val="2"/>
          </rPr>
          <t>Cesion de 35,970 t a LTP Grimar NE. Res N°791-18</t>
        </r>
      </text>
    </comment>
    <comment ref="AG4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4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( C ) Cesion de 7,753 Ton a  Emdepes NE (Res N°761-18)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AB4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40,398 ton a Emdepes. Res N°505-18 mod por Res N°610-18 </t>
        </r>
      </text>
    </comment>
    <comment ref="AG4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Cierre Periodo 15554 (07-03-2018)</t>
        </r>
      </text>
    </comment>
    <comment ref="BN4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1573 modifica cuota de35,028 a 55,163 Ton.</t>
        </r>
      </text>
    </comment>
    <comment ref="BO4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Cesión de 12,672 ton a Emdepes. (Res N°1031-18) </t>
        </r>
      </text>
    </comment>
    <comment ref="AG5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Cierre Periodo 16666 (10-10-2018)</t>
        </r>
      </text>
    </comment>
    <comment ref="AU50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1"/>
            <color indexed="81"/>
            <rFont val="Tahoma"/>
            <family val="2"/>
          </rPr>
          <t>( C )  Cede 4,297 Ton a GRIMAR S.A. NE (Res. Ex. N° 4512-18)</t>
        </r>
      </text>
    </comment>
    <comment ref="BN5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1573 modifica cuota de 20,136 a 1 Ton.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 15671 (20-03-2018)</t>
        </r>
      </text>
    </comment>
    <comment ref="AA5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1837-18 modifica cuota de 62,878  a 99,024 Ton.</t>
        </r>
      </text>
    </comment>
    <comment ref="AB5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Cesion de 56,701  ton a Emdepes. (Res N°770-18)</t>
        </r>
      </text>
    </comment>
    <comment ref="BO51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68,719 ton a Emdepes. Res N°505-18 mod por Res N°610-18 </t>
        </r>
      </text>
    </comment>
    <comment ref="BT5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 C ) Cesion de 7,755 Ton a  EMDEPES S.A. NE (Res N°1031-18)</t>
        </r>
      </text>
    </comment>
    <comment ref="AA5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1837-18 modifica cuota de 36,147  a 0,001 Ton.</t>
        </r>
      </text>
    </comment>
    <comment ref="BT5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( C ) Cesión de 8,267 Ton a EMDEPES S.A. NE (Res N°1690-18)</t>
        </r>
      </text>
    </comment>
    <comment ref="AB53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Cesion de 66,004 ton a LTP Sur Austral . Res N°770-18</t>
        </r>
      </text>
    </comment>
    <comment ref="AG5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U53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Cesion de 63,001 ton a LTP Sur Austral. Res N°676-18. Mod por Res N°689-18</t>
        </r>
      </text>
    </comment>
    <comment ref="AZ5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BN5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Res. Ex. N° 1186 modifica cuota de 147,146 a 148,627</t>
        </r>
      </text>
    </comment>
    <comment ref="BO53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224,850 ton a Emdepes. Res N°609-18 
Cesión de 9,217 ton a Emdepes. Res N° 1888-18 </t>
        </r>
      </text>
    </comment>
    <comment ref="BT5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AU5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( C )  Cede 1,637 a  Pesquera Sur Austral  (Res. Ex. N° 2076-2018).</t>
        </r>
      </text>
    </comment>
    <comment ref="AZ5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Cierre Periodo 16090 (06-06-2018)</t>
        </r>
      </text>
    </comment>
    <comment ref="BN5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Res. Ex. N° 1186 modifica cuota de 85,589 a 85,441
</t>
        </r>
      </text>
    </comment>
    <comment ref="AB5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121,497 ton a Emdepes. Res N°505-18 mod por Res N°610-18 
Cesión de 2,737 ton a Emdepes NE  (Res N°1336-18) </t>
        </r>
      </text>
    </comment>
    <comment ref="AG5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AT5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1964-18  modifica cuota de 118,241 a 186,213 Ton.</t>
        </r>
      </text>
    </comment>
    <comment ref="BN5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Res. Ex. N° 1186 modifica cuota de 28,637 a 27,156
</t>
        </r>
      </text>
    </comment>
    <comment ref="BO5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36,546 ton a Emdepes. Res N°505-18 mod por Res N°610-18 </t>
        </r>
      </text>
    </comment>
    <comment ref="BT5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AT5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Res. Ex. N° 1964-18  modifica cuota de 67,973 a 0,001 Ton.</t>
        </r>
      </text>
    </comment>
    <comment ref="BN5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Res. Ex. N° 1186 modifica cuota de 16,462 a 15,610
</t>
        </r>
      </text>
    </comment>
    <comment ref="I5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( C ) Cesión de 18,559 Ton a Endepes S.A. NE (Res N°717-18)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B5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71,882 ton a Emdepes. Res N°505-18 mod por Res N°610-18 </t>
        </r>
      </text>
    </comment>
    <comment ref="AG5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P57" authorId="3" shapeId="0">
      <text>
        <r>
          <rPr>
            <b/>
            <sz val="12"/>
            <color indexed="81"/>
            <rFont val="Tahoma"/>
            <family val="2"/>
          </rPr>
          <t>practicascc:</t>
        </r>
        <r>
          <rPr>
            <sz val="12"/>
            <color indexed="81"/>
            <rFont val="Tahoma"/>
            <family val="2"/>
          </rPr>
          <t xml:space="preserve">
Coeficiente y cuota modificado por Res Nª 549-18 que modifica 35-18</t>
        </r>
      </text>
    </comment>
    <comment ref="BO5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14,549 ton a Emdepes. Res N°505-18 mod por Res N°610-18 </t>
        </r>
      </text>
    </comment>
    <comment ref="BT5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BT5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 (07-03-2018)</t>
        </r>
      </text>
    </comment>
    <comment ref="AB5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37,315 ton a Emdepes. Res N°505-18 mod por Res N°610-18 </t>
        </r>
      </text>
    </comment>
    <comment ref="AG5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P59" authorId="3" shapeId="0">
      <text>
        <r>
          <rPr>
            <b/>
            <sz val="10"/>
            <color indexed="81"/>
            <rFont val="Tahoma"/>
            <family val="2"/>
          </rPr>
          <t>practicascc: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Organización agregada por Res Nª 549-18 que modifica 35-18</t>
        </r>
      </text>
    </comment>
    <comment ref="BO5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20,871 ton a Emdepes. Res N°505-18 mod por Res N°610-18 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(C) Cede 2,222 ton a EMDEPES. Res N°2520-18 </t>
        </r>
      </text>
    </comment>
    <comment ref="BT5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(07-03-2018)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1574 modifica cuota de 4,507 a 5,821 Ton.</t>
        </r>
      </text>
    </comment>
    <comment ref="AB61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27,127 ton a Emdepes. Res N°505-18 mod por Res N°610-18 </t>
        </r>
      </text>
    </comment>
    <comment ref="AG6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BO61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13,628 ton a Emdepes. Res N°505-18 mod por Res N°610-18 </t>
        </r>
      </text>
    </comment>
    <comment ref="BT6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 (07-03-2018)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Res. Ex. N° 1574 modifica cuota de 2,591 a 1,277 Ton.</t>
        </r>
      </text>
    </comment>
    <comment ref="AG6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63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( C ) Cesión de 51,548 Ton a EMDEPES S.A.  (Res N°505-18 mod por Res N°610-18) </t>
        </r>
      </text>
    </comment>
    <comment ref="N6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AB63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93,903 ton a Emdepes. Res N°505-18 mod por Res N°610-18 </t>
        </r>
      </text>
    </comment>
    <comment ref="AG6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BO6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Cede 29,987 Ton a EMDEPES. NE  (Res N°1335-18)</t>
        </r>
      </text>
    </comment>
    <comment ref="BT6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15864 (16-04-2018)</t>
        </r>
      </text>
    </comment>
    <comment ref="N6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G6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6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 xml:space="preserve">( C ) Cesión de 35,842 Ton a Pesquera Sur Austral NE (Res N°762-18) </t>
        </r>
      </text>
    </comment>
    <comment ref="N6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B6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56,327 ton a Emdepes. Res N°505-18 mod por Res N°610-18 </t>
        </r>
      </text>
    </comment>
    <comment ref="AG6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Cierre Periodo 15554 (07-03-2018)</t>
        </r>
      </text>
    </comment>
    <comment ref="BO6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4,487 ton a Emdepes. Res N°505-18 mod por Res N°610-18 </t>
        </r>
      </text>
    </comment>
    <comment ref="BT6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AB6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Descuento por exceso por 1,247 ton</t>
        </r>
      </text>
    </comment>
    <comment ref="BT6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 (07-03-2018)</t>
        </r>
      </text>
    </comment>
    <comment ref="I6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( C )  Cesion de 23,506 Ton a Pesquera Sur Austral NE. (Res N°758-18)</t>
        </r>
      </text>
    </comment>
    <comment ref="N6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AB6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( C )  Cede 2,658 a PESQUERA SUR AUSTRAL S.A. (Res. Ex. N° 1708-2018).</t>
        </r>
      </text>
    </comment>
    <comment ref="AG6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Cierre Periodo 15963 (07-05-2018)</t>
        </r>
      </text>
    </comment>
    <comment ref="BT6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Cierre Periodo 16000 (16-05-2018)</t>
        </r>
      </text>
    </comment>
    <comment ref="AG6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Cierre Periodo 15963 (07-05-2018)</t>
        </r>
      </text>
    </comment>
    <comment ref="I6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 xml:space="preserve">( C ) Cesión de 39,468 Ton a Emdepes. (Res N°505-18 mod por Res N°610-18) </t>
        </r>
      </text>
    </comment>
    <comment ref="N6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71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( C )  Cesion de 88,365 Ton a Pesquera Sur Austral. (Res N°676-18. Mod por Res N°689-189</t>
        </r>
      </text>
    </comment>
    <comment ref="N7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 (07-03-2018)</t>
        </r>
      </text>
    </comment>
    <comment ref="I73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Cesión de 76,940 Ton a EMDEPES S.A. (Res N°505-18 mod por Res N°610-18) </t>
        </r>
      </text>
    </comment>
    <comment ref="N7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N7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7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( C) Cesion de 51,337 Ton a Pesquera Sur Austral (Res N°770-18)</t>
        </r>
      </text>
    </comment>
    <comment ref="N7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H7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1839-18 modifica cuota de 35,180  a  55,404 Ton.</t>
        </r>
      </text>
    </comment>
    <comment ref="I7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(C) Cesión de 46,230 Ton a EMDEPES S.A. (Res N°505-18 mod por Res N°610-18) 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(C) Cesión de 5,325 Ton a EMDEPES S.A. NE (Res N° 1641-18) 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Cierre  Periodo 15554 (07-03-2018)
Apertura Periodo 16003 (17-05-2018)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1839-18 modifica cuota de 20,225  a  0,001 Ton.</t>
        </r>
      </text>
    </comment>
    <comment ref="I79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(C ) Cesión de 78,877 ton a Emdepes. (Res N°505-18 mod por Res N°610-18) </t>
        </r>
      </text>
    </comment>
    <comment ref="N7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H8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Res. Ex. N° 1156 modifica cuota de 48,068 a 75,700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1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 ) Cesion de 41,605 Ton a Pesquera Sur Austral NE (Res N°759-18)</t>
        </r>
      </text>
    </comment>
    <comment ref="N8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Cierre Periodo 15554 (07-03-2018)
Apertura Periodo 15773 (28-03-2018)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Res. Ex. N° 1156 modifica cuota de 27,633 a 1 Ton.</t>
        </r>
      </text>
    </comment>
    <comment ref="I83" authorId="1" shapeId="0">
      <text>
        <r>
          <rPr>
            <b/>
            <sz val="8"/>
            <color indexed="81"/>
            <rFont val="Tahoma"/>
            <family val="2"/>
          </rPr>
          <t xml:space="preserve">mmendoza:
</t>
        </r>
        <r>
          <rPr>
            <sz val="11"/>
            <color indexed="81"/>
            <rFont val="Tahoma"/>
            <family val="2"/>
          </rPr>
          <t>(C ) Cesion de 70,277 Ton Pesquera Sur Austral (Res N°676-18. Mod por Res N°689-18)</t>
        </r>
      </text>
    </comment>
    <comment ref="I8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( C ) Cesion de 113,069 Ton a LTP Sur Austral. (Res N°676-18. Mod por Res N°689-18)</t>
        </r>
      </text>
    </comment>
    <comment ref="N8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87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(C ) Cesión de 95,557 Ton a Pesquera Sur Austral (Res N°762-18) 
Res. 1035-18 modifica Res. 762-18 de 95,557 Ton a 99,107 Ton</t>
        </r>
      </text>
    </comment>
    <comment ref="N8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15554  (07-03-2018)</t>
        </r>
      </text>
    </comment>
    <comment ref="I8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(C ) Cesión de 2,099 Ton a Pesquera Grimar S.A. N.E. (Res N°3693-18) </t>
        </r>
      </text>
    </comment>
    <comment ref="D91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Cesion de 24,252 a LTP Sur Austral . Res N°762-18</t>
        </r>
      </text>
    </comment>
    <comment ref="I91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(C ) Cesión de 24,252 Ton a Pesquera Sur Austral (Res N°762-18) 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93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 (C ) Cesion de 5,336 Ton a Pesquera Sur Austral  (Res N°676-18. Mod por Res N°689-18)</t>
        </r>
      </text>
    </comment>
    <comment ref="N9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N9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95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Cesión de 22,088 ton a Sur Austral Res N°762-18 </t>
        </r>
      </text>
    </comment>
    <comment ref="N9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9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Cesión de 6,997 ton a Pesquera Grimar NE ( Res N°600-18)
</t>
        </r>
      </text>
    </comment>
    <comment ref="N9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15496 (23-02-2018)</t>
        </r>
      </text>
    </comment>
    <comment ref="N9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Anual 15554 (07-03-2018)</t>
        </r>
      </text>
    </comment>
    <comment ref="I9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Cesión de 16,200 ton a  Pesquera Sur Austral NE Res N°1887-18</t>
        </r>
      </text>
    </comment>
    <comment ref="H10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Res. Ex. N° 1832-18 modifica cuota de 4,906 ton a 7,725</t>
        </r>
      </text>
    </comment>
    <comment ref="N10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Cierre Periodo 15554 (07-03-2018)
Apertura Periodo 16003 (17-05-2018)</t>
        </r>
      </text>
    </comment>
    <comment ref="H10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Res. Ex. N° 1832-18 modifica cuota de 2,820 ton a 1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</rPr>
          <t>C</t>
        </r>
        <r>
          <rPr>
            <b/>
            <sz val="10"/>
            <color indexed="81"/>
            <rFont val="Tahoma"/>
            <family val="2"/>
          </rPr>
          <t>EA TELLO, MARIO ANDRES:</t>
        </r>
        <r>
          <rPr>
            <sz val="11"/>
            <color indexed="81"/>
            <rFont val="Tahoma"/>
            <family val="2"/>
          </rPr>
          <t xml:space="preserve">
Res.Ex. 1063-2018 Modifica cuota de 629,444 a 991,656</t>
        </r>
      </text>
    </comment>
    <comment ref="G10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( C )  Cede 844,229 a EMDEPES S.A. NE (Res. Ex. N° 720-2018).
( C )  Cede 14,100 a DERIS S.A. 41°28,6 L.S. al 47° L.S. (Res. Ex. N° 1249-2018).
( C )  Cede 73,814  a EMDEPES S.A. 41°28,6 L.S. al 47° L.S. (Res. Ex. N° 1640-2018).
( C )  Cede 61,386  a EMDEPES S.A. 41°28,6 L.S. al 47° L.S. (Res. Ex. N° 2439-2018).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( C )  Modifica Res. 2439-18, Cede 16,332  a EMDEPES S.A. 41°28,6 L.S. al 47° L.S. (Res. Ex. N° 2686-2018).</t>
        </r>
      </text>
    </comment>
    <comment ref="L10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Cierre Periodo 17409 ( 28-02-2018)
Apertura Periodo 17618 ( 26-03-2018)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Res.Ex. 1063-2018 Modifica cuota de 362,222 a 0,010
</t>
        </r>
      </text>
    </comment>
    <comment ref="G10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( C )  Cede 14,766 Ton a EMDEPES S.A. SE (Res. Ex. N° 3294-2018).
( C )  Cede 4,5 Ton a EMDEPES S.A. SE (Res. Ex. N° 3782-2018).
( C )  Cede 0,6 Ton a EMDEPES S.A. SE (Res. Ex. N° 3785-2018).
( C )  Cede 2 Ton a EMDEPES S.A. SE (Res. Ex. N° 4291-2018).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Res.Ex. 1063-2018 Modifica cuota de 503,556 a 793,327
</t>
        </r>
      </text>
    </comment>
    <comment ref="G110" authorId="1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(c )  </t>
        </r>
        <r>
          <rPr>
            <sz val="12"/>
            <color indexed="81"/>
            <rFont val="Tahoma"/>
            <family val="2"/>
          </rPr>
          <t>Cede  580,5 ton a LTP Emdepes NE. (Res N°727-18)
( C )  Cede 99,867 a DERIS S.A. 41°28,6 L.S. al 47° L.S. (Res.Ex.N° 1249-2018).
( C )  Cede 16,332  a EMDEPES S.A. 41°28,6 L.S. al 47° L.S. (Res. Ex. N° 2439-2018).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( C )  Modifica Res. 2439-18, Cede 61,386  a EMDEPES S.A. 41°28,6 L.S. al 47° L.S. (Res. Ex. N° 2686-2018).</t>
        </r>
      </text>
    </comment>
    <comment ref="L11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Cierre Periodo 17409 ( 28-02-2018)
Apertura Periodo 17618 ( 26-03-2018)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Res.Ex. 1063-2018 Modifica cuota de 298,778 a 0,007
</t>
        </r>
      </text>
    </comment>
    <comment ref="G11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(c )  Cede 14,100  Ton a LTP Emdepes SE. (Res N°3694-18)
(c )  Cede 14,166  Ton a LTP Emdepes SE. (Res N°4291-18)</t>
        </r>
      </text>
    </comment>
  </commentList>
</comments>
</file>

<file path=xl/comments2.xml><?xml version="1.0" encoding="utf-8"?>
<comments xmlns="http://schemas.openxmlformats.org/spreadsheetml/2006/main">
  <authors>
    <author>mmendoza</author>
    <author>Kamila Molina</author>
    <author>CEA TELLO, MARIO ANDRES</author>
  </authors>
  <commentList>
    <comment ref="F7" authorId="0" shapeId="0">
      <text>
        <r>
          <rPr>
            <b/>
            <sz val="10"/>
            <color indexed="81"/>
            <rFont val="Tahoma"/>
            <family val="2"/>
          </rPr>
          <t>mmendoza:</t>
        </r>
        <r>
          <rPr>
            <sz val="10"/>
            <color indexed="81"/>
            <rFont val="Tahoma"/>
            <family val="2"/>
          </rPr>
          <t xml:space="preserve">
(C) Recibe 1124,247 Ton desde Org. XI Región (Res N°505-18. Mod por Res N°610-18)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224,850 Ton desde Org. XI Región (Res N°609-18)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18,558 Ton desde Org COOPENAY XI Región (Res N° 717-18)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580,5 Ton desde Area Pta. Arenas  XII Región (Res N° 727-18)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7,753 Ton desde Soc. Susana XI Region (Res N°761-18)
(C) Recibe 74,040 Ton desde STI Elefantes XI Región (Res N°793-18)
(M) Modifica Res. 793-18 de 74,040 Ton a 73,586 Ton (Res N°1034-18)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48,589 Ton desde Sind. Aguirre-Moraleda - RSU 11.02.0051 XI Región (Res. N° 718-2018).
(C) Recibe 844,229 Ton desde Puerto Natales XII (Res. N° 720-2018)
(C) Recibe 500 Ton desde Area Puerto Montt A X Región (Res. N° 1204-2018)
(C) Recibe 73,814 Ton desde Area Puerto Natales XII Región (Res. N°1640-2018)
(C) Recibe 5,325 Ton desde STI de Pescadores Artesanales "Mares Australes N°3" XI Región (Res. N°1641-2018)
(C) Recibe 1,736 Ton desde STI de Pescadores Artesanales , Buzos, Mariscadores y Algueros Moraleda XI Región (Res. N°1642-2018)
(C) Recibe 8,267 Ton desde Soc. Pesca Artesanal Blanco y Negro Ltda. XI Región (Res. N°1690-2018)</t>
        </r>
        <r>
          <rPr>
            <sz val="10"/>
            <color indexed="81"/>
            <rFont val="Calibri"/>
            <family val="2"/>
            <scheme val="minor"/>
          </rPr>
          <t xml:space="preserve">
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</rPr>
          <t>Kamila Molina: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77,718 Ton desde Área Pta. Arenas y Pto. Natales XII Región (Res. N°2439-18)
(C) Recibe 2,222 Ton desde STI Frutos de Dios XI Región (Res. N°2520-18)
(T) Traspaso de 600 Ton desde EMDEPES S.A. SE (Cert. N°38-18)
(C) Compra 43,043 Ton a Deris S.A NE (Res. N°2442-18)
(C) Compra 40,920 Ton a Pesq. Sur Austral  NE (Res. N°2454-18)
(C) Compra 3,464 Ton a Pesq. Grimar NE (Res. N°2462-18)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20,427 Ton desde Org. XI Región (Res N°1031-18)
(C) Recibe 146,604 Ton desde Org. XI Región (Res N°1031-18)
(C) Recibe 29,987 Ton desde Org. XI Región (Res N°1335-18)
(C) Recibe 2,737 Ton desde Org. XI Región (Res N°1336-18)
(C) Recibe 9,217 Ton desde Org. XI Región (Res N°1888-18)
(T) Traspaso de 146 Ton a EMDEPES S.A. SE (Cert. N°55-18)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Se descuentan 27,267 ton correspondientes a capturas realizadas durante el 2017 (En bases de datos aparecen con fecha de desembarque año 2018)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(C) Recibe  6,997 Ton desde Soc.  Huiquen y Poblete Ltda.  XI Region (Res.N°600-18)
(C) Recibe  5,819 Ton desde Soc. Ninive. XI Region (Res.N°760-18)
(C) Recibe  99 Ton desde Area Palena X Region (Res.N°823-18)
(C) Recibe 53,432 Ton desde STI N°1 Pto Cisnes XI Región (Res.N°824-18)
(C) Recibe 87,691 Ton desde Org. XI Region (Res.N°791-18)
(C) Recibe 53,488 Ton desde STI N°1 Puerto Puyuhuapi / RSU 11.02.0022 XI Región (Res.N°719-18).
(V) Venta de 3,464 Ton a EMDEPES S.A NE (Res. N°2462-18).
(C) Recibe  9,1 Ton desde Area Palena X Region (Res.N°3675-18)
(C) Recibe  77 Ton desde Area Calbuco B X Region (Res.N°3590-18)
(C) Recibe 2,099  Ton desde STI Los Eternos Navegantes XI Region (Res.N°3693-18)
(C) Recibe 6,225 Ton desde Org. XI Region (Res.N°3781-18)
(C) Compra 222,104 Ton a Deris S.A.  NE (Res. N°4098-18)
(C) Recibe 7,198 Ton desde STI N°1 Puerto Puyuhuapi / RSU 11.02.0022 XI Región (Res.N°4313-18).
(C) Recibe  77,777 Ton desde Area Patagania X Region (Res.N°4350-18)
(A) Arriendo de 89,987 Ton desde Deris S.A SE (Cert. N°70-18).
(C) Recibe 4,297  Ton desde Org. XI Region (Res.N° 4512-18)
</t>
        </r>
      </text>
    </comment>
    <comment ref="F11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14,100 + 99,867 Ton desde Areas Pto. Natales y Pta. Arenas (Res. N°1249-18)</t>
        </r>
        <r>
          <rPr>
            <b/>
            <sz val="10"/>
            <color indexed="81"/>
            <rFont val="Tahoma"/>
            <family val="2"/>
          </rPr>
          <t>.</t>
        </r>
      </text>
    </comment>
    <comment ref="F12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(T) Traspaso de 1000 Ton desde Deris S.A. SE (Cert. N° 31-18). 
(V) Venta de 43,043 Ton a EMDEPES S.A. NE (Res N°2442-18).
(T) Traspaso de 460 Ton desde Deris S.A. SE (Cert. N° 46-18). 
(C) Compra 42,751 Ton a Pesq. Sur Austral  NE (Res. N°2945-18)
(C) Compra 160,316 Ton a Pesq. Sur Austral  NE (Res. N°2944-18)
(C) Compra 560,957 Ton a Pesq. Sur Austral  NE (Res. N°2943-18)
(C) Compra 443,489 Ton a Pesq. Sur Austral  NE (Res. N°2941-18)
(C) Compra 80,123 Ton a Pesca Cisne S.A.  NE (Res. N°3604-18)
(T) Traspaso de 113,869 Ton desde Deris S.A. SE (Cert. N° 58-18). 
(V) Venta de 222,104 Ton a Grimar S.A.. NE (Res N°4098-18).</t>
        </r>
      </text>
    </comment>
    <comment ref="F14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(V) Venta de 80,123 Ton a DERIS S.A. NE (Res N° 3604-18).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340,047 Ton desde Organizaciones XI Región  (Res N°676-18. Mod por Res N°689-18)
(C) Recibe 23,506 Ton desde Org. Ultima Esperanza XI Región (Res N°758-18)
(C) Recibe 36,975 Ton desde Org. Walter Montiel XI Región (Res N°759-18)
(C) Recibe 41,605 Ton desde Org. AG Aysen XI Región (Res N°759-18)
(C) Recibe 48,029 Ton desde Org. Bahia Chacabuco XI Región (Res N°762-18 (Art. 55N 48,029-0,039=47,99 Ton)
(C) Recibe 24,252 Ton desdeTurismo Sur Aysen Ltda XI Región (Res N°762-18)
(C) Recibe 95,557 Ton desde Eternos Navegantes XI Región (Res N°762-18)
(M) Modifica Res. 762-18 de 95,557 Ton a 99,107 Ton (Res. N° 1035-18)
(C) Recibe 35,842 Ton desdeSTI Los Chonos XI Región (Res N°762-18)
(C) Recibe 22,088 Ton desde Soc Mininea XI Región (Res N°762-18)
(C) Recibe 66,004 Ton desde Isla Huichas N°3 XI Región (Res N°770-18)
(C) Recibe 51,337 Ton desde Litoral Sur XI Región (Res N°770-18)
(C) Recibe 180 Ton desde Calbuco B X Región (Res N°771-18)
(C) Recibe 120 Ton desde Calbuco B X Región (Res N°1295-18)
Res. Ex. N 1304-18 deja sin efecto Res Ex N 3861 (0,099)
Res. Ex. N 1305-18 deja sin efecto Res Ex N 3937-17 (0,099)
(C) Recibe 99,486 Ton desde STI Moraleda de Puerto Cisnes XI Región (Res N°1208-18)
(C) Recibe 2,658 Ton desde Soc. Pesq. Art. Leviñanco Hrns. Ltda. XI Región (Res N°1708-18)
(C) Recibe 80 Ton desde Area Calbuco A X Región (Res N°1886-18)
(C) Recibe 16,2 Ton desde Soc. Analuz Ltda. XI Región (Res N°1887-18)
(C) Recibe 1,637 Ton desde SIND Puyuhuapi-Nuevo Horizonte XI Región (Res N°2076-18)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mmendoza: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Se descuentan 59,536 ton correspondientes a capturas realizadas durante el 2017 (En bases de datos aparecen con fecha de desembarque año 2018)</t>
        </r>
      </text>
    </comment>
    <comment ref="F16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(V) Venta de 40,920 Ton a EMDEPES S.A.  NE (Res. N°2454-18)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(C) Recibe 2,270 Ton desde Org. XI Region (Res.N°1340-18)
(V) Venta de 42,751 Ton a Deris S.A.  NE (Res. N°2945-18)
(V) Venta de 160,316 Ton a Deris S.A.  NE (Res. N°2944-18)
(V) Venta de 560,957 Ton a Deris S.A.  NE (Res. N°2943-18)
(V) Venta de 443,489 Ton a Deris S.A.  NE (Res. N°2941-18)</t>
        </r>
        <r>
          <rPr>
            <sz val="9"/>
            <color indexed="81"/>
            <rFont val="Tahoma"/>
            <family val="2"/>
          </rPr>
          <t xml:space="preserve">
(V) Venta de 40,920 Ton a EMDEPES S.A.  NE (Res. N°2454-18)
(C) Recibe 3,4 Ton desde Org. XI Region (Res.N°3780-18)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(C) Recibe 122,223 Ton desde  X Region (Res. N°4348-18)
(A) Arriendo de 89,987 Ton desde Deris S.A SE (Cert. N°71-18).</t>
        </r>
      </text>
    </comment>
    <comment ref="F18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(V) Venta de 0,247 Ton a Pesquera Quihua  NE (Res. N°3778-18)</t>
        </r>
      </text>
    </comment>
    <comment ref="F19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Res. Ex. N 1304-18 deja sin efecto Res Ex N 3861 (0,099 Ton)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Res. Ex. N 1304-18 deja sin efecto Res Ex N 3861 </t>
        </r>
      </text>
    </comment>
    <comment ref="F22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(C) Compra 0,247 Ton a  Alimentos Marinos S.A. NE (Res. N°3778-18)</t>
        </r>
      </text>
    </comment>
    <comment ref="F23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Res. Ex. N 1305-18 deja sin efecto Res Ex N 3937-17 (0,099 Ton)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F24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Res. Ex. N 1305-18 deja sin efecto Res Ex N 3937-17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>Kamila Molina: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(T) Traspaso de 600 Ton a EMDEPES S.A. NE (Cert. N°38-18)
(C) Compra  137,116 Ton a Deris S.A. SE (Res N° 2444-18)
(C) Recibe 14,766 Ton desde Pto. Natales XII Region (Res.N°3294-18)
(C) Recibe 14,100 Ton desde Pta. Arenas XII Region (Res.N°3694-18)
(C) Recibe 4,431 Ton desde STI Pto. Cisnes XI Region (Res.N°3692-18)
(C) Recibe 4,5 Ton desde Pto. Natales XII Region (Res.N°3782-18)
(C) Recibe 0,6 Ton desde Pto. Natales XII Region (Res.N°3785-18)
(T) Traspaso de 146 Ton desde EMDEPES S.A. NE (Cert. N°55-18)
(C) Recibe 1,287 Ton desde STI Canal Puyuhuapi XI Region (Res.N°4292-18)
(C) Recibe 2 Ton desde Pto. Natales XII Region (Res.N°4291-18)
(C) Recibe 14,166 Ton desde Pta. Arenas XII Region (Res.N°4291-18)</t>
        </r>
      </text>
    </comment>
    <comment ref="F35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(T) Traspaso de 1000 Ton a Deris S.A NE (Cert. N°31-18). 
(V) Venta de 137,116 Ton a EMDEPES S.A. SE (Res. N°2444-18)
(T) Traspaso de 460 Ton a Deris S.A NE (Cert. N°46-18). 
(C) Compra 329,277 Ton a Pesca Cisne S.A.  NE (Res. N°3606-18)
(T) Traspaso de 113,869 Ton a Deris S.A NE (Cert. N°58-18).
(A) Arriendo de 89,987 Ton a Grimar S.A NE (Cert. N°70-18).
(A) Arriendo de 89,987 Ton a Pesq. Sur Austral S.A NE (Cert. N°71-18).</t>
        </r>
      </text>
    </comment>
    <comment ref="F37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(V) Venta de 329,277  Ton a DERIS S.A. NE (Res N° 3606-18).</t>
        </r>
      </text>
    </comment>
  </commentList>
</comments>
</file>

<file path=xl/comments3.xml><?xml version="1.0" encoding="utf-8"?>
<comments xmlns="http://schemas.openxmlformats.org/spreadsheetml/2006/main">
  <authors>
    <author>CEA TELLO, MARIO ANDRES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Periodo 121054 (11-01-2018)</t>
        </r>
      </text>
    </comment>
  </commentList>
</comments>
</file>

<file path=xl/sharedStrings.xml><?xml version="1.0" encoding="utf-8"?>
<sst xmlns="http://schemas.openxmlformats.org/spreadsheetml/2006/main" count="3273" uniqueCount="430">
  <si>
    <t xml:space="preserve">CONTROL DE CUOTA ANUAL </t>
  </si>
  <si>
    <t>Región</t>
  </si>
  <si>
    <t>Area</t>
  </si>
  <si>
    <t>Periodo</t>
  </si>
  <si>
    <t>Cuota asignada</t>
  </si>
  <si>
    <t>Movimientos</t>
  </si>
  <si>
    <t>Cuota Efectiva</t>
  </si>
  <si>
    <t>Captura</t>
  </si>
  <si>
    <t>Saldo</t>
  </si>
  <si>
    <t>Consumo</t>
  </si>
  <si>
    <t>Fecha de Cierre</t>
  </si>
  <si>
    <t>X Región de Los Lagos</t>
  </si>
  <si>
    <t>Calbuco A</t>
  </si>
  <si>
    <t>Ene-Jul</t>
  </si>
  <si>
    <t>Sep-Dic</t>
  </si>
  <si>
    <t>Calbuco B</t>
  </si>
  <si>
    <t>Calbuco C</t>
  </si>
  <si>
    <t>Chiloe A</t>
  </si>
  <si>
    <t>Chiloe B</t>
  </si>
  <si>
    <t>Chiloe C</t>
  </si>
  <si>
    <t>Hualaihue</t>
  </si>
  <si>
    <t>Puerto Montt A</t>
  </si>
  <si>
    <t>Puerto Montt B</t>
  </si>
  <si>
    <t>Palena</t>
  </si>
  <si>
    <t>Patagonia</t>
  </si>
  <si>
    <t xml:space="preserve">Residual </t>
  </si>
  <si>
    <t>ENERO - JULIO</t>
  </si>
  <si>
    <t>AGOSTO</t>
  </si>
  <si>
    <t>VEDA BIOLOGICA</t>
  </si>
  <si>
    <t>SEPTIEMBRE - DICIEMBRE</t>
  </si>
  <si>
    <t>TOTAL</t>
  </si>
  <si>
    <t>Ene - Jul</t>
  </si>
  <si>
    <t>Sept - Dic</t>
  </si>
  <si>
    <t>Asignatario de la Cuota</t>
  </si>
  <si>
    <t>Coeficiente</t>
  </si>
  <si>
    <t>Doc/Fecha de Cierre</t>
  </si>
  <si>
    <t xml:space="preserve"> Flota Sur I</t>
  </si>
  <si>
    <t>Sind. Chacabuco-Walter Montiel      11.02.0041</t>
  </si>
  <si>
    <t>Flota Sur II</t>
  </si>
  <si>
    <t>SIND AGUIRRE-ARCHIPIELAGOS DEL SUR     RSU 11.02.0069</t>
  </si>
  <si>
    <t>Flota Norte I</t>
  </si>
  <si>
    <t>COOPERATIVA ULTIMA ESPERANZA GALA    ROL 4309</t>
  </si>
  <si>
    <t>Flota Norte II</t>
  </si>
  <si>
    <t>COOPERATIVA PIONEROS DEL MAR DE PTO CISNES COOPACIS      ROL 4312</t>
  </si>
  <si>
    <t>STI BAHIA CHACABUCO    RSU 11.02.0084</t>
  </si>
  <si>
    <t>COOPESUR      ROL 4410</t>
  </si>
  <si>
    <t>SIND PUYUHUAPI-BM. PESC. ART.     RSU 11.02.0048</t>
  </si>
  <si>
    <t>sind. Aysen-canal costa  RSU 11.02.0074</t>
  </si>
  <si>
    <t>CODEMAIH     ROL 4313</t>
  </si>
  <si>
    <t>STI PUERTO PUYUHUAPI LOS DELFINES      RSU   11.05.0002</t>
  </si>
  <si>
    <t>STI ELEFANTES     RSU 11.05.0022</t>
  </si>
  <si>
    <t>ene-julo</t>
  </si>
  <si>
    <t>sept-Dic</t>
  </si>
  <si>
    <t>SIND. AGUIRRE - MORALEDA       RSU 11.02.0051</t>
  </si>
  <si>
    <t>STI CANAL PUYUHUAPI    RSU 11.05.0009</t>
  </si>
  <si>
    <t>STI MORALEDA DE PTO CISNES     RSU   11.05.0015</t>
  </si>
  <si>
    <t>Servicio Evenecer ltda   RUT 76.304.204-9</t>
  </si>
  <si>
    <t>STI NUEVO AMANECER    RSU   11.02.0082</t>
  </si>
  <si>
    <t>STI N°1 PUERTO PUYUHUAPI     RSU    11.02.0022</t>
  </si>
  <si>
    <t>SIND CISNES - LA UNION      RSU   11.05.0001</t>
  </si>
  <si>
    <t>Ninive ltda  rut 76.313.647-7</t>
  </si>
  <si>
    <t>AG ISLA TOTO     RAG 87-11</t>
  </si>
  <si>
    <t>ST MORALEDA DEL PTO GAVIOTA       RSU   11.05.0006</t>
  </si>
  <si>
    <t>Sociedad Susana Ltda, rut  76.290.196-k</t>
  </si>
  <si>
    <t>SIND. AGUIRRE - MARES DEL SUR      RSU   11.02.0042</t>
  </si>
  <si>
    <t>STI PUERTO RAUL MARIN BALMACEDA      RSU 11.02.0030</t>
  </si>
  <si>
    <t>STI AMPARO DE PUERTO GAVIOTA        RSU 11.05.0005</t>
  </si>
  <si>
    <t>Mayorga  y Mayorga ltda    rut 76.469.761-8</t>
  </si>
  <si>
    <t>COOPERATIVA DE PTO AGUIRRE COPEAGU    ROL 4257</t>
  </si>
  <si>
    <t>COOPEFISH        ROL   4452</t>
  </si>
  <si>
    <t>STI LITORAL NORTE      RSU 11.05.0013</t>
  </si>
  <si>
    <t>SOCIEDAD PESCA ARTESANAL BLANCO Y NEGRO LTDA 76.298.763-5</t>
  </si>
  <si>
    <t>SIND ANDRADE DE ISLAS HUICHAS N°3     RSU  11.02.0034</t>
  </si>
  <si>
    <t>SIND PUYUHUAPI-NUEVO HORIZONTE     RSU 11.05.0014</t>
  </si>
  <si>
    <t>AG DEMERSAL    RAG 85-11</t>
  </si>
  <si>
    <t>BAHIA MAR    RSU 11.02.0106</t>
  </si>
  <si>
    <t>STI DE LA PESCA ARTS. DE CALETA ANDRADE       RSU 11.02.0029</t>
  </si>
  <si>
    <t>SIND GALA-ANTONIO RONCHI      RSU 11.02.0047</t>
  </si>
  <si>
    <t>STI EL PITICO     RSU 11.05.0024</t>
  </si>
  <si>
    <t>COPENAY    ROL - 4650</t>
  </si>
  <si>
    <t>HEREDEROS DEL ARTE           11.02.0122</t>
  </si>
  <si>
    <t>SIND GALA N° 1      RSU   11.02.0024</t>
  </si>
  <si>
    <t>PESC. ART. AYSEN       RSU 11.02.0021</t>
  </si>
  <si>
    <t>SIND AGUIRRE - NUEVA AVENTURA      RSU 11.02.0077</t>
  </si>
  <si>
    <t>SOCIEDAD AMAROMAR LTDA      RUT 76.257.407-1</t>
  </si>
  <si>
    <t>STI FRUTOS DE DIOS     RSU 11.05.0021</t>
  </si>
  <si>
    <t>COPEPAY      ROL 4569</t>
  </si>
  <si>
    <t>SIND ANDRADE - FRANCISCO ANDRADE     RSU 11.02.0054</t>
  </si>
  <si>
    <t>COOPESGAL     ROL  4370</t>
  </si>
  <si>
    <t>STI SAN PEDRO    RSU 11.05.0019</t>
  </si>
  <si>
    <t>STI ESTUARIO DE AYSEN      RSU 11.02.0099</t>
  </si>
  <si>
    <t>STI ISLA HUICHAS N° 1      RSU 11.02.0019</t>
  </si>
  <si>
    <t>Sociedad Pescadores Puerto Gala Ltda. RUT: 76.580.226-1</t>
  </si>
  <si>
    <t>STI DE LA PESCA ARTESANAL DE PTO GAVIOTA      RSU 11.02.0025</t>
  </si>
  <si>
    <t>SIND. AYSEN-LOS CHONOS     RSU 11.02.0070</t>
  </si>
  <si>
    <t>STI PROA AL FUTURO    RSU  11.02.0147</t>
  </si>
  <si>
    <t xml:space="preserve"> RESIDUAL FLOTA NORTE 1</t>
  </si>
  <si>
    <t>Mayorga y Diaz ltda    RUT: 76.665.337-5</t>
  </si>
  <si>
    <t>STI PESCADORES ARTESANALES ULTIMA ESPERANZA      RSU  11.02.0065</t>
  </si>
  <si>
    <t>SOCIEDAD LEVIÑANCO HERMANOS LTDA RUT: 76.133.677-0</t>
  </si>
  <si>
    <t>RESIDUAL FLOTA NORTE 2</t>
  </si>
  <si>
    <t>SIND AYSEN - ESFUERZO DEL MAR      RSU 11.02.0100</t>
  </si>
  <si>
    <t>RESIDUAL FLOTA SUR 2</t>
  </si>
  <si>
    <t>ENE-JUL</t>
  </si>
  <si>
    <t>SEP-DIC</t>
  </si>
  <si>
    <t>STI PESCADORES ARTESANALES PLAYAS BLANCAS     RSU 11.02.0075</t>
  </si>
  <si>
    <t xml:space="preserve"> TOTAL</t>
  </si>
  <si>
    <t>STI PESCADORES ARTESANALES LIBERTAD DEL MAR     RSU 11.02.0073</t>
  </si>
  <si>
    <t>STI PESCADORES ARTESANALES LITORAL SUR     RSU 11.02.0043</t>
  </si>
  <si>
    <t>STI MARES AUSTRALES N° 3 PTO AYSEN      RSU  11.02.0044</t>
  </si>
  <si>
    <t>STI RIO AYSEN        RSU  11.02.0110</t>
  </si>
  <si>
    <t>AG AYSEN     RAG   833-1981</t>
  </si>
  <si>
    <t>Sociedad de pescadores artesanales ltda  rut  76.458.859-2</t>
  </si>
  <si>
    <t>SIND AYSEN - B.M. PESC. ARTES.     RSU   11.02.0028</t>
  </si>
  <si>
    <t>SIND AYSEN - LOS ETERNOS NAVEGANTES     RSU 11.02.0126</t>
  </si>
  <si>
    <t>COOPERATIVA DE PESCADORES PILCOSTA    ROL 4759</t>
  </si>
  <si>
    <t>TURISMO SUR AYSEN LTDA     RUT: 76.518.703-6</t>
  </si>
  <si>
    <t>SOCIEDAD ARCHIPIELAGO DE LOS CHONOS LIMITADA RUT: 76,287.241-2</t>
  </si>
  <si>
    <t>SOCIEDAD MININEA LTDA     RUT 76.210.264-1</t>
  </si>
  <si>
    <t>SOCIEDAD HUIQUEN Y POBLETE LTDA   RUT: 76.726.181-0</t>
  </si>
  <si>
    <t>SOCIEDAD ANALUZ LTDA   RUT: 76.726.561-1</t>
  </si>
  <si>
    <t>RESIDUAL FLOTA SUR I</t>
  </si>
  <si>
    <t>AREA</t>
  </si>
  <si>
    <t>Cuota Asignada</t>
  </si>
  <si>
    <t>movimiento</t>
  </si>
  <si>
    <t xml:space="preserve">cuota efectiva </t>
  </si>
  <si>
    <t>saldo</t>
  </si>
  <si>
    <t>Cierre</t>
  </si>
  <si>
    <t>XII Región de Magallanes</t>
  </si>
  <si>
    <t>Puerto Natales</t>
  </si>
  <si>
    <t>Punta Arenas</t>
  </si>
  <si>
    <t xml:space="preserve">CUOTA TOTAL ARTESANAL </t>
  </si>
  <si>
    <t xml:space="preserve">CUOTA ASIGNADA </t>
  </si>
  <si>
    <t xml:space="preserve"> </t>
  </si>
  <si>
    <t>DTO</t>
  </si>
  <si>
    <t>CUOTA OBJETIVO ARTESANAL XI</t>
  </si>
  <si>
    <t>Recurso</t>
  </si>
  <si>
    <t xml:space="preserve">X </t>
  </si>
  <si>
    <t>XI SUR 1</t>
  </si>
  <si>
    <t>XI SUR 2</t>
  </si>
  <si>
    <t>XI NORTE 1</t>
  </si>
  <si>
    <t>XI NORTE 2</t>
  </si>
  <si>
    <t>XII</t>
  </si>
  <si>
    <t>EMDEPES S.A.                      85697000-0</t>
  </si>
  <si>
    <t>Ene</t>
  </si>
  <si>
    <t>Unidad de Pesquería</t>
  </si>
  <si>
    <t>Zona</t>
  </si>
  <si>
    <t>Cuota Global (t)</t>
  </si>
  <si>
    <t>Cuota Período</t>
  </si>
  <si>
    <t>Captura (t)</t>
  </si>
  <si>
    <t>Saldo (t)</t>
  </si>
  <si>
    <t>% Consumido</t>
  </si>
  <si>
    <t>Fecha cierre</t>
  </si>
  <si>
    <t>Feb-Dic</t>
  </si>
  <si>
    <t>Período</t>
  </si>
  <si>
    <t>autorizada</t>
  </si>
  <si>
    <t xml:space="preserve">Cesiones </t>
  </si>
  <si>
    <t>efectiva</t>
  </si>
  <si>
    <t>GRIMAR S.A. PESQ.             96962720-5</t>
  </si>
  <si>
    <t>Merluza de Sur UPN</t>
  </si>
  <si>
    <t>UPN</t>
  </si>
  <si>
    <t xml:space="preserve">Enero </t>
  </si>
  <si>
    <t>Febrero -Diciembre</t>
  </si>
  <si>
    <t>DERIS S.A.                           96808510-7</t>
  </si>
  <si>
    <t>PESCA CISNE S.A.                     96531980-8</t>
  </si>
  <si>
    <t>Abr.</t>
  </si>
  <si>
    <t>SUR AUSTRAL S.A. PESQ.    96542880-1</t>
  </si>
  <si>
    <t xml:space="preserve">ALIMENTOS MARINOS S.A.   91584000-0     </t>
  </si>
  <si>
    <t>CONGELADOS DEL PACIFICO  76299375-9</t>
  </si>
  <si>
    <t>Feb</t>
  </si>
  <si>
    <t>PESCA FINA SpA.                 76596549-7</t>
  </si>
  <si>
    <t>Merluza de Sur UPS</t>
  </si>
  <si>
    <t>UPS</t>
  </si>
  <si>
    <t>DERIS S.A.                                     96808510-7</t>
  </si>
  <si>
    <t>PESCA CISNE S.A.                96531980-8</t>
  </si>
  <si>
    <t>SUR AUSTRAL S.A. PESQ.       96542880-1</t>
  </si>
  <si>
    <t>CUOTA (TONELADAS)</t>
  </si>
  <si>
    <t>OPERACIÓN</t>
  </si>
  <si>
    <t xml:space="preserve">RESUMEN ANUAL </t>
  </si>
  <si>
    <t xml:space="preserve">Unidad de pesquería </t>
  </si>
  <si>
    <t>Titular de cuota LTP</t>
  </si>
  <si>
    <t>Traspaso, Cesión, Arriendo, etc.)</t>
  </si>
  <si>
    <t>% consumido</t>
  </si>
  <si>
    <t>Cuota asignada (t)</t>
  </si>
  <si>
    <t>CONTROL DE CUOTA MERLUZA DEL SUR LTP POR TITULAR 2018</t>
  </si>
  <si>
    <t>Cuota Asignada por R. Ex N° 4507-17</t>
  </si>
  <si>
    <t>Sociedad Almonacid, Andrade e Hijos Ltda RUT: 76.304.988-4</t>
  </si>
  <si>
    <t>Sector/Fracción</t>
  </si>
  <si>
    <t>Cuota Global asignada (t)</t>
  </si>
  <si>
    <t>Desembarques</t>
  </si>
  <si>
    <t>Desembarque total (t)</t>
  </si>
  <si>
    <t>% Consumo</t>
  </si>
  <si>
    <t>Industrial</t>
  </si>
  <si>
    <t>Artesanal</t>
  </si>
  <si>
    <t>Merluza del sur (D. Ex. N°806/27-12-2017)</t>
  </si>
  <si>
    <t xml:space="preserve"> Industrial - Artesanal</t>
  </si>
  <si>
    <t>Ene-Dic</t>
  </si>
  <si>
    <t>Fauna Acompañante</t>
  </si>
  <si>
    <t>Cuota Anual de Captura Merluza del Sur Fuera de Unidades de Pesquería 2018</t>
  </si>
  <si>
    <r>
      <t xml:space="preserve">XI Región de Aysén
</t>
    </r>
    <r>
      <rPr>
        <sz val="16"/>
        <color theme="1"/>
        <rFont val="Calibri"/>
        <family val="2"/>
        <scheme val="minor"/>
      </rPr>
      <t xml:space="preserve">Res Ex N°35-2018; Rectif por Res N°504-18; Mod por Res Ex N°549-18; Mod por Res Ex N°580-18; </t>
    </r>
  </si>
  <si>
    <t>SIND AGUIRRE - AGUA CLARAS     11.02.0066</t>
  </si>
  <si>
    <t xml:space="preserve"> Merluza del Sur paralelo 47° al 57° L.S. (SE)</t>
  </si>
  <si>
    <t>Sector</t>
  </si>
  <si>
    <t xml:space="preserve"> 41°28,6' al 47° L.S. (NE)</t>
  </si>
  <si>
    <t>47° al 57° L.S. (SE)</t>
  </si>
  <si>
    <t>Unidad</t>
  </si>
  <si>
    <t>Tipo Asginatario</t>
  </si>
  <si>
    <t>Organización Titular Area</t>
  </si>
  <si>
    <t>Periodo Inicio</t>
  </si>
  <si>
    <t>Periodo Final</t>
  </si>
  <si>
    <t>Cuota</t>
  </si>
  <si>
    <t>Cesiones Descuentos</t>
  </si>
  <si>
    <t>Desembarque</t>
  </si>
  <si>
    <t>Saldo Porcentaje</t>
  </si>
  <si>
    <t>Preliminar</t>
  </si>
  <si>
    <t>11.02.0041</t>
  </si>
  <si>
    <t>11.02.0084</t>
  </si>
  <si>
    <t>11.02.0074</t>
  </si>
  <si>
    <t>76.304.204-9</t>
  </si>
  <si>
    <t>76.313.647-7</t>
  </si>
  <si>
    <t>76.290.196-k</t>
  </si>
  <si>
    <t>76.469.761-8</t>
  </si>
  <si>
    <t>76.298.763-5</t>
  </si>
  <si>
    <t>11.02.0106.</t>
  </si>
  <si>
    <t>11.02.0021</t>
  </si>
  <si>
    <t>11.02.0099</t>
  </si>
  <si>
    <t>11.02.0070</t>
  </si>
  <si>
    <t>11.02.0065</t>
  </si>
  <si>
    <t>11.02.0100.</t>
  </si>
  <si>
    <t>11.02.0075</t>
  </si>
  <si>
    <t>11.02.0073</t>
  </si>
  <si>
    <t>11.02.0043</t>
  </si>
  <si>
    <t>11.02.0044</t>
  </si>
  <si>
    <t>11.02.0110</t>
  </si>
  <si>
    <t>833-1981</t>
  </si>
  <si>
    <t>76.458.859-2</t>
  </si>
  <si>
    <t>11.02.0028</t>
  </si>
  <si>
    <t>11.02.0126</t>
  </si>
  <si>
    <t>76.518.703-6</t>
  </si>
  <si>
    <t>76.287.241-2</t>
  </si>
  <si>
    <t>76.210.264-1</t>
  </si>
  <si>
    <t>76.726.181-0</t>
  </si>
  <si>
    <t>76.726.561-1</t>
  </si>
  <si>
    <t>Cod.</t>
  </si>
  <si>
    <t>11.02.0069</t>
  </si>
  <si>
    <t>11.02.0051</t>
  </si>
  <si>
    <t>11.02.0082</t>
  </si>
  <si>
    <t>11.02.0066</t>
  </si>
  <si>
    <t>11.02.0042</t>
  </si>
  <si>
    <t>11.02.0034</t>
  </si>
  <si>
    <t>11.02.0029</t>
  </si>
  <si>
    <t>11.02.0122</t>
  </si>
  <si>
    <t>11.02.0077</t>
  </si>
  <si>
    <t>11.02.0054</t>
  </si>
  <si>
    <t>11.02.0019</t>
  </si>
  <si>
    <t>11.02.0147</t>
  </si>
  <si>
    <t>76.133.677-0</t>
  </si>
  <si>
    <t>11.02.0048</t>
  </si>
  <si>
    <t>11.05.0002</t>
  </si>
  <si>
    <t>11.05.0009</t>
  </si>
  <si>
    <t>11.02.0022</t>
  </si>
  <si>
    <t>87-11</t>
  </si>
  <si>
    <t>11.02.0030</t>
  </si>
  <si>
    <t>11.02.0047</t>
  </si>
  <si>
    <t>11.02.0024</t>
  </si>
  <si>
    <t>76.304.988-4</t>
  </si>
  <si>
    <t>76.257.407-1</t>
  </si>
  <si>
    <t>76.580.226-1</t>
  </si>
  <si>
    <t>11.05.0022</t>
  </si>
  <si>
    <t>11.05.0015</t>
  </si>
  <si>
    <t>11.05.0001</t>
  </si>
  <si>
    <t>11.05.0006</t>
  </si>
  <si>
    <t>11.05.0005</t>
  </si>
  <si>
    <t>11.05.0013</t>
  </si>
  <si>
    <t>85-11</t>
  </si>
  <si>
    <t>11.05.0024</t>
  </si>
  <si>
    <t>11.05.0021</t>
  </si>
  <si>
    <t>11.05.0019</t>
  </si>
  <si>
    <t>11.02.0025</t>
  </si>
  <si>
    <t>76.665.337-5</t>
  </si>
  <si>
    <t>41°28,6' al 47° L.S. (NE)</t>
  </si>
  <si>
    <t>RESUMEN POR PERIODO DEL CONSUMO DE CUOTA MERLUZA DEL SUR 2018</t>
  </si>
  <si>
    <t>MERLUZA DEL SUR 41°28,6LS-47°LS</t>
  </si>
  <si>
    <t>MERLUZA DEL SUR</t>
  </si>
  <si>
    <t>41°28,6LS-47°LS</t>
  </si>
  <si>
    <t>TITULAR LTP</t>
  </si>
  <si>
    <t>ENERO</t>
  </si>
  <si>
    <t>FEBRERO</t>
  </si>
  <si>
    <t>DICIEMBRE</t>
  </si>
  <si>
    <t>CONGELADOS PACIFICO SPA</t>
  </si>
  <si>
    <t xml:space="preserve">PESCA FINA SPA    </t>
  </si>
  <si>
    <t>MERLUZA DEL SUR 47°LS-57°LS</t>
  </si>
  <si>
    <t>47°LS-57°LS</t>
  </si>
  <si>
    <t>CALBUCO A</t>
  </si>
  <si>
    <t>X</t>
  </si>
  <si>
    <t>MERLUZA DEL SUR X</t>
  </si>
  <si>
    <t>ARTESANAL X</t>
  </si>
  <si>
    <t>JULIO</t>
  </si>
  <si>
    <t xml:space="preserve">SEPTIEMBRE </t>
  </si>
  <si>
    <t>CALBUCO B</t>
  </si>
  <si>
    <t>CALBUCO C</t>
  </si>
  <si>
    <t>CHILOE A</t>
  </si>
  <si>
    <t>CHILOE B</t>
  </si>
  <si>
    <t>CHILOE C</t>
  </si>
  <si>
    <t>HUALAIHUE</t>
  </si>
  <si>
    <t>PALENA</t>
  </si>
  <si>
    <t>PATAGONIA</t>
  </si>
  <si>
    <t>PTO MONTT A</t>
  </si>
  <si>
    <t>PTO MONTT B</t>
  </si>
  <si>
    <t>CUOTA RESIDUAL</t>
  </si>
  <si>
    <t>MERLUZA DEL SUR XI</t>
  </si>
  <si>
    <t>XI</t>
  </si>
  <si>
    <t>SIND CHACABUCO WALTER MONTIEL</t>
  </si>
  <si>
    <t>RESUMEN ANUAL CONSUMO DE CUOTA MERLUZA DEL SUR 2018</t>
  </si>
  <si>
    <t>CONTROL CUOTA MERLUZA DEL SUR ARTESANAL 2018</t>
  </si>
  <si>
    <t>SIND AYSEN CANAL COSTA</t>
  </si>
  <si>
    <t>STI BAHIA CHACABUCO</t>
  </si>
  <si>
    <t>SOCIEDAD PA MAR ADENTRO LTDA</t>
  </si>
  <si>
    <t>SERVICIO EVENECER LTAD</t>
  </si>
  <si>
    <t>NINIVE LTDA</t>
  </si>
  <si>
    <t>SOCIEDAD SUSANA LTDA</t>
  </si>
  <si>
    <t>MAYORGA Y MAYORGA LTDA</t>
  </si>
  <si>
    <t>SOCIEDAD PESCA ARTESANAL BLANCO Y NEGRO LTDA</t>
  </si>
  <si>
    <t>BAHIA MAR</t>
  </si>
  <si>
    <t>CONEPAY</t>
  </si>
  <si>
    <t>PESC ART AYSEN</t>
  </si>
  <si>
    <t>COPEPAY</t>
  </si>
  <si>
    <t>STI ESTUARIO DE AYSEN</t>
  </si>
  <si>
    <t>SIND AYSEN LOS CHONOS</t>
  </si>
  <si>
    <t>STI PESCADORES ARTESANALES ULTIMA ESPERANZA</t>
  </si>
  <si>
    <t>SIND AYSEN ESFUERZO DEL MAR</t>
  </si>
  <si>
    <t>STI PESCADORES ARTESANALES PLAYAS BLANCAS</t>
  </si>
  <si>
    <t>STI PESCADORES ARTESANALES LIBERTAD DEL MAR</t>
  </si>
  <si>
    <t xml:space="preserve">STI PESCAODRES ARTESANALES LITORAL SUR </t>
  </si>
  <si>
    <t>STI MARES AUSTRALES N°3 PTO AYSEN</t>
  </si>
  <si>
    <t>STI RIO AYSEN</t>
  </si>
  <si>
    <t>AG AYSEN</t>
  </si>
  <si>
    <t>SOCIEDAD DE PESCADORES ARTESANALES LTDA</t>
  </si>
  <si>
    <t>SIND AYSEN B M PESC ARTES</t>
  </si>
  <si>
    <t>SIND AYSEN LOS ETERNOS NAVEGANTES</t>
  </si>
  <si>
    <t>COOPERATIVA DE PESCADORES PILCOSTA</t>
  </si>
  <si>
    <t>TURISMO  SUR AYSEN LTDA</t>
  </si>
  <si>
    <t>SOCIEDAD ARCHIPIELAGO DE LOS CHONOS</t>
  </si>
  <si>
    <t>SOCIEDAD MININEA LTDA</t>
  </si>
  <si>
    <t>SOCIEDAD HUIQUEN Y POBLETE LTDA</t>
  </si>
  <si>
    <t>SOCIEDAD ANALUZ LTDA</t>
  </si>
  <si>
    <t>BOLSA RESIDUAL</t>
  </si>
  <si>
    <t>FLOTA SUR I</t>
  </si>
  <si>
    <t>FLOTA SUR II</t>
  </si>
  <si>
    <t>SIND AGUIRRE ARCHIPIEL DEL SUR</t>
  </si>
  <si>
    <t xml:space="preserve">COOPESUR </t>
  </si>
  <si>
    <t>CODEMAIH</t>
  </si>
  <si>
    <t>SIN AGUIRRE MORALEDA</t>
  </si>
  <si>
    <t>STI NUEVO AMENECER</t>
  </si>
  <si>
    <t>SIND AGUIRRE AGUAS CLARAS</t>
  </si>
  <si>
    <t>SIND AGUIRRE MARES DEL SUR</t>
  </si>
  <si>
    <t>COOPERATIVA DE PTO AGUIRRE COPEAGU</t>
  </si>
  <si>
    <t>SIND ANDRADE ISLAS HUICHAS N°3</t>
  </si>
  <si>
    <t>SIND ANDRADE ISLAS HUICHAS N°4</t>
  </si>
  <si>
    <t>SIND ANDRADE ISLAS HUICHAS N°5</t>
  </si>
  <si>
    <t>STI DE LA PESCA ARTESANAL DE CALETA ANDRADE</t>
  </si>
  <si>
    <t>HEREDEROS DEL ARTE</t>
  </si>
  <si>
    <t>SIND AGUIRRE NUEVAVENTURA</t>
  </si>
  <si>
    <t>SIND ANDRADE FRANCISCO ANDRADE</t>
  </si>
  <si>
    <t>STI ISLA HUINCHAS N°1</t>
  </si>
  <si>
    <t>STI ISLA HUINCHAS N°2</t>
  </si>
  <si>
    <t>STI ISLA HUINCHAS N°3</t>
  </si>
  <si>
    <t>STI PROA AL FUTURO</t>
  </si>
  <si>
    <t>SOCIEDAD PESQUERA ARTESANAL LEVIÑANCO HERMANOS LTDA</t>
  </si>
  <si>
    <t>FLOTA NORTE I</t>
  </si>
  <si>
    <t>COOPERATIVA ULTIMA ESPERANZA GALA</t>
  </si>
  <si>
    <t>SIND PUYUHUAPI  B M PESC ARTES</t>
  </si>
  <si>
    <t xml:space="preserve">STI PUERTO PUYUHUAPI LOS DELFINES </t>
  </si>
  <si>
    <t>STI CANAL PUYUHUAPI</t>
  </si>
  <si>
    <t>STI N°1 PUERTO PUYUHUAPI</t>
  </si>
  <si>
    <t>AG ISLA TOTO</t>
  </si>
  <si>
    <t>STI PUERTO RAUL MARIN BALMACEDA</t>
  </si>
  <si>
    <t>COOPEFISH</t>
  </si>
  <si>
    <t>SIND PUYUHUAPI NUEVO HORIZONTE</t>
  </si>
  <si>
    <t>SIND GALA ANTONIO RONCHI</t>
  </si>
  <si>
    <t>SIND GALA N° 1</t>
  </si>
  <si>
    <t>SOCIEDAD ALMONACID ANDRADE E HIJOS LTDA</t>
  </si>
  <si>
    <t>SOCIEDAD AMAROMAR LTDA</t>
  </si>
  <si>
    <t>COOPESGAL</t>
  </si>
  <si>
    <t>SOCIEDAD DE PESCADORES PUERTO GALA LTDA</t>
  </si>
  <si>
    <t>FLOTA NORTE II</t>
  </si>
  <si>
    <t>COOPERATIVA PIONEROS DEL MAR DE PTO CISNES COOPACIS</t>
  </si>
  <si>
    <t>11.05.0018</t>
  </si>
  <si>
    <t>STI N° 1 PUERTO CISNES       RSU 11.05.0018</t>
  </si>
  <si>
    <t>STI N°1 PUERTO CISNES</t>
  </si>
  <si>
    <t xml:space="preserve">STI ELEFANTES </t>
  </si>
  <si>
    <t>STI MORALEDA DE PUERTO CISNES</t>
  </si>
  <si>
    <t>SIND CISNES LA UNION</t>
  </si>
  <si>
    <t>ST MORALEDA DE PTO GAVIOTA</t>
  </si>
  <si>
    <t>STI AMPARO DE PTO GAVIOTA</t>
  </si>
  <si>
    <t>STI LITORAL NORTE</t>
  </si>
  <si>
    <t>AG DEMERSAL</t>
  </si>
  <si>
    <t>STI EL PITICO</t>
  </si>
  <si>
    <t xml:space="preserve">SIND CISNES PESC ART Y B M </t>
  </si>
  <si>
    <t xml:space="preserve">STI FRUTO DE DIOS </t>
  </si>
  <si>
    <t>STI SAN PEDRO</t>
  </si>
  <si>
    <t>STI DE LA PESCA ARTESANAL DE PTO GAVIOTA</t>
  </si>
  <si>
    <t>MAYORGA Y DIAZ LTDA</t>
  </si>
  <si>
    <t>MERLUZA DEL SUR XII</t>
  </si>
  <si>
    <t>PUERTO NATALES</t>
  </si>
  <si>
    <t>PUNTA ARENAS</t>
  </si>
  <si>
    <t>TOTAL LTP</t>
  </si>
  <si>
    <t>TOTAL ASIGNATARIOS LTP</t>
  </si>
  <si>
    <t>TOTAL REGION</t>
  </si>
  <si>
    <t>TOTAL ASIGNATARIOS REGION</t>
  </si>
  <si>
    <t>-</t>
  </si>
  <si>
    <t xml:space="preserve">EMDEPES SA       </t>
  </si>
  <si>
    <t>GRIMAR SA PESQ</t>
  </si>
  <si>
    <t xml:space="preserve">DERIS SA    </t>
  </si>
  <si>
    <t xml:space="preserve">PESCA CISNE SA     </t>
  </si>
  <si>
    <t xml:space="preserve">SUR AUSTRAL SA PESQ </t>
  </si>
  <si>
    <t>ALIMENTOS MARINOS SA</t>
  </si>
  <si>
    <t xml:space="preserve">GRIMAR SA PESQ     </t>
  </si>
  <si>
    <t>MERLUZA DEL SUR FUERA UP</t>
  </si>
  <si>
    <t>FUERA UNIDAD PESQUERIA</t>
  </si>
  <si>
    <t>ARTESANALES E INDUSTRIALES</t>
  </si>
  <si>
    <t>11.05.0014</t>
  </si>
  <si>
    <t>11.05.0017</t>
  </si>
  <si>
    <t>SIND CISNES - PESC ART. Y B.M.        RSU   11.05.0017</t>
  </si>
  <si>
    <t>4257 - 11414257</t>
  </si>
  <si>
    <t xml:space="preserve"> Sociedad Pa Mar Adentro Ltda   RUT  76.292.169-3</t>
  </si>
  <si>
    <t>76.292.169-3</t>
  </si>
  <si>
    <t>PESQUERA ISLA QUIHUA S.A. 99546520-5</t>
  </si>
  <si>
    <t>Mar</t>
  </si>
  <si>
    <t>Merluza del Sur paralelo                           41°28,6' al 47° L.S. (NE)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</si>
</sst>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00"/>
    <numFmt numFmtId="165" formatCode="#,##0.000"/>
    <numFmt numFmtId="166" formatCode="0.000_ ;[Red]\-0.000\ "/>
    <numFmt numFmtId="167" formatCode="0.00_ ;[Red]\-0.00\ "/>
    <numFmt numFmtId="168" formatCode="0.00000000000"/>
    <numFmt numFmtId="169" formatCode="0.00000%"/>
    <numFmt numFmtId="170" formatCode="0.0"/>
    <numFmt numFmtId="171" formatCode="#,##0_ ;[Red]\-#,##0\ "/>
    <numFmt numFmtId="172" formatCode="[$-F800]dddd\,\ mmmm\ dd\,\ yyyy"/>
    <numFmt numFmtId="173" formatCode="#,##0.00_ ;[Red]\-#,##0.00\ "/>
    <numFmt numFmtId="174" formatCode="#,##0.000_ ;[Red]\-#,##0.000\ "/>
    <numFmt numFmtId="175" formatCode="0.0%"/>
    <numFmt numFmtId="176" formatCode="yyyy/mm/dd;@"/>
    <numFmt numFmtId="177" formatCode="0.000000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indexed="81"/>
      <name val="Tahoma"/>
      <family val="2"/>
    </font>
    <font>
      <sz val="12"/>
      <name val="Calibri"/>
      <family val="2"/>
      <scheme val="minor"/>
    </font>
    <font>
      <sz val="14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12"/>
      <color indexed="81"/>
      <name val="Tahoma"/>
      <family val="2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1"/>
      <name val="Tahoma"/>
      <family val="2"/>
    </font>
    <font>
      <sz val="10"/>
      <color indexed="81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11"/>
      <color indexed="8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/>
    <xf numFmtId="0" fontId="14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24" fillId="0" borderId="0"/>
  </cellStyleXfs>
  <cellXfs count="587">
    <xf numFmtId="0" fontId="0" fillId="0" borderId="0" xfId="0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0" fillId="3" borderId="20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6" fontId="0" fillId="3" borderId="1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171" fontId="7" fillId="4" borderId="1" xfId="0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3" fontId="7" fillId="4" borderId="18" xfId="0" applyNumberFormat="1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0" fontId="13" fillId="0" borderId="21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170" fontId="13" fillId="0" borderId="8" xfId="0" applyNumberFormat="1" applyFont="1" applyFill="1" applyBorder="1" applyAlignment="1">
      <alignment horizontal="center" vertical="center"/>
    </xf>
    <xf numFmtId="170" fontId="13" fillId="0" borderId="18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10" fontId="4" fillId="8" borderId="10" xfId="1" applyNumberFormat="1" applyFont="1" applyFill="1" applyBorder="1" applyAlignment="1">
      <alignment horizontal="center" vertical="center"/>
    </xf>
    <xf numFmtId="10" fontId="4" fillId="8" borderId="13" xfId="1" applyNumberFormat="1" applyFont="1" applyFill="1" applyBorder="1" applyAlignment="1">
      <alignment horizontal="center" vertical="center"/>
    </xf>
    <xf numFmtId="10" fontId="4" fillId="8" borderId="27" xfId="1" applyNumberFormat="1" applyFont="1" applyFill="1" applyBorder="1" applyAlignment="1">
      <alignment horizontal="center" vertical="center"/>
    </xf>
    <xf numFmtId="10" fontId="4" fillId="8" borderId="19" xfId="1" applyNumberFormat="1" applyFont="1" applyFill="1" applyBorder="1" applyAlignment="1">
      <alignment horizontal="center" vertical="center"/>
    </xf>
    <xf numFmtId="170" fontId="4" fillId="0" borderId="53" xfId="0" applyNumberFormat="1" applyFont="1" applyFill="1" applyBorder="1" applyAlignment="1">
      <alignment horizontal="center" vertical="center"/>
    </xf>
    <xf numFmtId="170" fontId="13" fillId="0" borderId="50" xfId="0" applyNumberFormat="1" applyFont="1" applyFill="1" applyBorder="1" applyAlignment="1">
      <alignment horizontal="center" vertical="center"/>
    </xf>
    <xf numFmtId="170" fontId="13" fillId="0" borderId="22" xfId="0" applyNumberFormat="1" applyFont="1" applyFill="1" applyBorder="1" applyAlignment="1">
      <alignment horizontal="center" vertical="center"/>
    </xf>
    <xf numFmtId="170" fontId="13" fillId="0" borderId="53" xfId="0" applyNumberFormat="1" applyFont="1" applyFill="1" applyBorder="1" applyAlignment="1">
      <alignment horizontal="center" vertical="center"/>
    </xf>
    <xf numFmtId="170" fontId="13" fillId="0" borderId="54" xfId="0" applyNumberFormat="1" applyFont="1" applyFill="1" applyBorder="1" applyAlignment="1">
      <alignment horizontal="center" vertical="center"/>
    </xf>
    <xf numFmtId="10" fontId="4" fillId="8" borderId="26" xfId="1" applyNumberFormat="1" applyFont="1" applyFill="1" applyBorder="1" applyAlignment="1">
      <alignment horizontal="center" vertical="center"/>
    </xf>
    <xf numFmtId="10" fontId="13" fillId="8" borderId="10" xfId="1" applyNumberFormat="1" applyFont="1" applyFill="1" applyBorder="1" applyAlignment="1">
      <alignment horizontal="center" vertical="center"/>
    </xf>
    <xf numFmtId="10" fontId="13" fillId="8" borderId="19" xfId="1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170" fontId="0" fillId="6" borderId="0" xfId="0" applyNumberFormat="1" applyFill="1" applyAlignment="1">
      <alignment vertical="center"/>
    </xf>
    <xf numFmtId="164" fontId="0" fillId="6" borderId="0" xfId="0" applyNumberFormat="1" applyFill="1" applyAlignment="1">
      <alignment vertical="center"/>
    </xf>
    <xf numFmtId="0" fontId="0" fillId="6" borderId="0" xfId="0" applyFill="1"/>
    <xf numFmtId="0" fontId="0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164" fontId="25" fillId="9" borderId="5" xfId="0" applyNumberFormat="1" applyFont="1" applyFill="1" applyBorder="1" applyAlignment="1">
      <alignment horizontal="center" vertical="center" wrapText="1"/>
    </xf>
    <xf numFmtId="0" fontId="25" fillId="9" borderId="52" xfId="0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0" fillId="11" borderId="36" xfId="0" applyFont="1" applyFill="1" applyBorder="1" applyAlignment="1">
      <alignment horizontal="center" vertical="center"/>
    </xf>
    <xf numFmtId="0" fontId="0" fillId="11" borderId="41" xfId="0" applyFont="1" applyFill="1" applyBorder="1" applyAlignment="1">
      <alignment horizontal="center" vertical="center"/>
    </xf>
    <xf numFmtId="0" fontId="0" fillId="11" borderId="38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0" fontId="25" fillId="9" borderId="2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25" fillId="9" borderId="23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7" fillId="11" borderId="31" xfId="0" applyFont="1" applyFill="1" applyBorder="1" applyAlignment="1">
      <alignment horizontal="center" vertical="center"/>
    </xf>
    <xf numFmtId="0" fontId="7" fillId="11" borderId="51" xfId="0" applyFont="1" applyFill="1" applyBorder="1" applyAlignment="1">
      <alignment horizontal="center" vertical="center"/>
    </xf>
    <xf numFmtId="0" fontId="7" fillId="11" borderId="55" xfId="0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 applyProtection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19" fillId="0" borderId="1" xfId="0" applyNumberFormat="1" applyFont="1" applyFill="1" applyBorder="1" applyAlignment="1" applyProtection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68" fontId="0" fillId="0" borderId="16" xfId="0" applyNumberFormat="1" applyFill="1" applyBorder="1" applyAlignment="1">
      <alignment horizontal="center" vertical="center"/>
    </xf>
    <xf numFmtId="164" fontId="25" fillId="9" borderId="23" xfId="0" applyNumberFormat="1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/>
    </xf>
    <xf numFmtId="0" fontId="7" fillId="11" borderId="32" xfId="0" applyFont="1" applyFill="1" applyBorder="1" applyAlignment="1">
      <alignment horizontal="center" vertical="center"/>
    </xf>
    <xf numFmtId="0" fontId="7" fillId="11" borderId="17" xfId="0" applyFont="1" applyFill="1" applyBorder="1" applyAlignment="1">
      <alignment horizontal="center" vertical="center"/>
    </xf>
    <xf numFmtId="0" fontId="0" fillId="11" borderId="8" xfId="0" applyFill="1" applyBorder="1" applyAlignment="1">
      <alignment vertical="center"/>
    </xf>
    <xf numFmtId="0" fontId="0" fillId="11" borderId="18" xfId="0" applyFill="1" applyBorder="1" applyAlignment="1">
      <alignment vertical="center"/>
    </xf>
    <xf numFmtId="166" fontId="0" fillId="0" borderId="8" xfId="0" applyNumberFormat="1" applyFont="1" applyFill="1" applyBorder="1" applyAlignment="1">
      <alignment horizontal="center" vertical="center"/>
    </xf>
    <xf numFmtId="166" fontId="0" fillId="0" borderId="10" xfId="0" applyNumberFormat="1" applyFont="1" applyFill="1" applyBorder="1" applyAlignment="1">
      <alignment horizontal="center" vertical="center"/>
    </xf>
    <xf numFmtId="166" fontId="0" fillId="0" borderId="18" xfId="0" applyNumberFormat="1" applyFont="1" applyFill="1" applyBorder="1" applyAlignment="1">
      <alignment horizontal="center" vertical="center"/>
    </xf>
    <xf numFmtId="166" fontId="0" fillId="0" borderId="19" xfId="0" applyNumberFormat="1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166" fontId="7" fillId="0" borderId="9" xfId="0" applyNumberFormat="1" applyFont="1" applyFill="1" applyBorder="1" applyAlignment="1" applyProtection="1">
      <alignment horizontal="center" vertical="center"/>
    </xf>
    <xf numFmtId="166" fontId="7" fillId="0" borderId="1" xfId="0" applyNumberFormat="1" applyFont="1" applyFill="1" applyBorder="1" applyAlignment="1" applyProtection="1">
      <alignment horizontal="center" vertical="center"/>
    </xf>
    <xf numFmtId="166" fontId="7" fillId="0" borderId="18" xfId="0" applyNumberFormat="1" applyFont="1" applyFill="1" applyBorder="1" applyAlignment="1" applyProtection="1">
      <alignment horizontal="center" vertical="center"/>
    </xf>
    <xf numFmtId="166" fontId="0" fillId="0" borderId="8" xfId="0" applyNumberFormat="1" applyFont="1" applyFill="1" applyBorder="1" applyAlignment="1">
      <alignment vertical="center"/>
    </xf>
    <xf numFmtId="166" fontId="0" fillId="0" borderId="10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6" fontId="0" fillId="0" borderId="19" xfId="0" applyNumberFormat="1" applyFont="1" applyFill="1" applyBorder="1" applyAlignment="1">
      <alignment vertical="center"/>
    </xf>
    <xf numFmtId="168" fontId="0" fillId="11" borderId="8" xfId="0" applyNumberFormat="1" applyFill="1" applyBorder="1" applyAlignment="1">
      <alignment horizontal="center" vertical="center"/>
    </xf>
    <xf numFmtId="168" fontId="0" fillId="11" borderId="18" xfId="0" applyNumberFormat="1" applyFill="1" applyBorder="1" applyAlignment="1">
      <alignment horizontal="center" vertical="center"/>
    </xf>
    <xf numFmtId="0" fontId="0" fillId="11" borderId="55" xfId="0" applyFont="1" applyFill="1" applyBorder="1" applyAlignment="1">
      <alignment horizontal="center" vertical="center"/>
    </xf>
    <xf numFmtId="169" fontId="0" fillId="0" borderId="12" xfId="1" applyNumberFormat="1" applyFont="1" applyFill="1" applyBorder="1" applyAlignment="1">
      <alignment horizontal="center" vertical="center"/>
    </xf>
    <xf numFmtId="169" fontId="0" fillId="0" borderId="16" xfId="1" applyNumberFormat="1" applyFont="1" applyFill="1" applyBorder="1" applyAlignment="1">
      <alignment horizontal="center" vertical="center"/>
    </xf>
    <xf numFmtId="169" fontId="0" fillId="0" borderId="20" xfId="1" applyNumberFormat="1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164" fontId="0" fillId="6" borderId="0" xfId="0" applyNumberFormat="1" applyFont="1" applyFill="1" applyAlignment="1">
      <alignment horizontal="center" vertical="center"/>
    </xf>
    <xf numFmtId="14" fontId="0" fillId="6" borderId="0" xfId="0" applyNumberFormat="1" applyFont="1" applyFill="1" applyAlignment="1">
      <alignment vertical="center"/>
    </xf>
    <xf numFmtId="0" fontId="0" fillId="6" borderId="0" xfId="0" applyFont="1" applyFill="1" applyBorder="1" applyAlignment="1">
      <alignment vertical="center"/>
    </xf>
    <xf numFmtId="166" fontId="0" fillId="6" borderId="0" xfId="0" applyNumberFormat="1" applyFont="1" applyFill="1" applyAlignment="1">
      <alignment vertical="center"/>
    </xf>
    <xf numFmtId="166" fontId="0" fillId="6" borderId="0" xfId="0" applyNumberFormat="1" applyFont="1" applyFill="1" applyAlignment="1">
      <alignment horizontal="center" vertical="center"/>
    </xf>
    <xf numFmtId="10" fontId="0" fillId="6" borderId="0" xfId="1" applyNumberFormat="1" applyFont="1" applyFill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3" fontId="4" fillId="6" borderId="0" xfId="0" applyNumberFormat="1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3" fontId="8" fillId="6" borderId="0" xfId="0" applyNumberFormat="1" applyFont="1" applyFill="1" applyBorder="1" applyAlignment="1">
      <alignment vertical="center"/>
    </xf>
    <xf numFmtId="10" fontId="0" fillId="6" borderId="0" xfId="1" applyNumberFormat="1" applyFont="1" applyFill="1" applyAlignment="1">
      <alignment vertical="center"/>
    </xf>
    <xf numFmtId="0" fontId="9" fillId="6" borderId="0" xfId="0" applyFont="1" applyFill="1" applyBorder="1" applyAlignment="1">
      <alignment vertical="center" textRotation="90" wrapText="1"/>
    </xf>
    <xf numFmtId="168" fontId="0" fillId="6" borderId="0" xfId="0" applyNumberFormat="1" applyFont="1" applyFill="1" applyAlignment="1">
      <alignment horizontal="center" vertical="center"/>
    </xf>
    <xf numFmtId="167" fontId="0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7" fillId="11" borderId="48" xfId="0" applyFont="1" applyFill="1" applyBorder="1" applyAlignment="1">
      <alignment horizontal="center"/>
    </xf>
    <xf numFmtId="0" fontId="7" fillId="11" borderId="38" xfId="0" applyFont="1" applyFill="1" applyBorder="1" applyAlignment="1">
      <alignment horizontal="center"/>
    </xf>
    <xf numFmtId="10" fontId="7" fillId="8" borderId="26" xfId="1" applyNumberFormat="1" applyFont="1" applyFill="1" applyBorder="1" applyAlignment="1">
      <alignment horizontal="center" vertical="center"/>
    </xf>
    <xf numFmtId="10" fontId="7" fillId="8" borderId="13" xfId="1" applyNumberFormat="1" applyFont="1" applyFill="1" applyBorder="1" applyAlignment="1">
      <alignment horizontal="center" vertical="center"/>
    </xf>
    <xf numFmtId="10" fontId="7" fillId="8" borderId="19" xfId="1" applyNumberFormat="1" applyFont="1" applyFill="1" applyBorder="1" applyAlignment="1">
      <alignment horizontal="center" vertical="center"/>
    </xf>
    <xf numFmtId="10" fontId="0" fillId="8" borderId="26" xfId="1" applyNumberFormat="1" applyFont="1" applyFill="1" applyBorder="1" applyAlignment="1">
      <alignment horizontal="center" vertical="center"/>
    </xf>
    <xf numFmtId="10" fontId="0" fillId="8" borderId="19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0" xfId="0" applyFill="1"/>
    <xf numFmtId="10" fontId="0" fillId="6" borderId="0" xfId="1" applyNumberFormat="1" applyFont="1" applyFill="1" applyAlignment="1">
      <alignment horizontal="center" vertical="center"/>
    </xf>
    <xf numFmtId="10" fontId="7" fillId="8" borderId="13" xfId="1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0" fontId="26" fillId="9" borderId="1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center" textRotation="90" wrapText="1"/>
    </xf>
    <xf numFmtId="0" fontId="0" fillId="6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164" fontId="0" fillId="6" borderId="0" xfId="0" applyNumberFormat="1" applyFill="1" applyBorder="1" applyAlignment="1">
      <alignment horizontal="center" vertical="center"/>
    </xf>
    <xf numFmtId="10" fontId="0" fillId="6" borderId="0" xfId="1" applyNumberFormat="1" applyFont="1" applyFill="1" applyBorder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0" fontId="0" fillId="6" borderId="0" xfId="0" applyFont="1" applyFill="1" applyAlignment="1">
      <alignment horizontal="left" vertical="center"/>
    </xf>
    <xf numFmtId="165" fontId="7" fillId="4" borderId="1" xfId="0" applyNumberFormat="1" applyFont="1" applyFill="1" applyBorder="1" applyAlignment="1">
      <alignment horizontal="center"/>
    </xf>
    <xf numFmtId="165" fontId="7" fillId="4" borderId="18" xfId="0" applyNumberFormat="1" applyFont="1" applyFill="1" applyBorder="1" applyAlignment="1">
      <alignment horizontal="center"/>
    </xf>
    <xf numFmtId="10" fontId="7" fillId="8" borderId="1" xfId="5" applyNumberFormat="1" applyFont="1" applyFill="1" applyBorder="1" applyAlignment="1">
      <alignment horizontal="center"/>
    </xf>
    <xf numFmtId="10" fontId="7" fillId="8" borderId="18" xfId="5" applyNumberFormat="1" applyFont="1" applyFill="1" applyBorder="1" applyAlignment="1">
      <alignment horizontal="center"/>
    </xf>
    <xf numFmtId="171" fontId="7" fillId="0" borderId="2" xfId="0" applyNumberFormat="1" applyFont="1" applyFill="1" applyBorder="1" applyAlignment="1">
      <alignment horizontal="center" vertical="center"/>
    </xf>
    <xf numFmtId="173" fontId="7" fillId="0" borderId="2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/>
    </xf>
    <xf numFmtId="0" fontId="0" fillId="13" borderId="0" xfId="0" applyFont="1" applyFill="1"/>
    <xf numFmtId="0" fontId="0" fillId="13" borderId="0" xfId="0" applyFill="1"/>
    <xf numFmtId="10" fontId="7" fillId="8" borderId="23" xfId="8" applyNumberFormat="1" applyFont="1" applyFill="1" applyBorder="1" applyAlignment="1">
      <alignment horizontal="center"/>
    </xf>
    <xf numFmtId="14" fontId="4" fillId="7" borderId="3" xfId="0" applyNumberFormat="1" applyFont="1" applyFill="1" applyBorder="1" applyAlignment="1">
      <alignment horizontal="center"/>
    </xf>
    <xf numFmtId="9" fontId="0" fillId="13" borderId="0" xfId="1" applyFont="1" applyFill="1"/>
    <xf numFmtId="0" fontId="4" fillId="11" borderId="0" xfId="0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9" fontId="7" fillId="8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10" borderId="0" xfId="0" applyFont="1" applyFill="1" applyBorder="1" applyAlignment="1">
      <alignment horizontal="center" vertical="center"/>
    </xf>
    <xf numFmtId="9" fontId="4" fillId="8" borderId="0" xfId="1" applyFont="1" applyFill="1" applyBorder="1" applyAlignment="1">
      <alignment horizontal="center" vertical="center"/>
    </xf>
    <xf numFmtId="175" fontId="0" fillId="8" borderId="26" xfId="0" applyNumberFormat="1" applyFont="1" applyFill="1" applyBorder="1" applyAlignment="1">
      <alignment horizontal="center" vertical="center"/>
    </xf>
    <xf numFmtId="175" fontId="0" fillId="8" borderId="13" xfId="0" applyNumberFormat="1" applyFont="1" applyFill="1" applyBorder="1" applyAlignment="1">
      <alignment horizontal="center" vertical="center"/>
    </xf>
    <xf numFmtId="175" fontId="0" fillId="8" borderId="19" xfId="0" applyNumberFormat="1" applyFont="1" applyFill="1" applyBorder="1" applyAlignment="1">
      <alignment horizontal="center" vertical="center"/>
    </xf>
    <xf numFmtId="175" fontId="0" fillId="6" borderId="0" xfId="0" applyNumberFormat="1" applyFont="1" applyFill="1" applyAlignment="1">
      <alignment vertical="center"/>
    </xf>
    <xf numFmtId="175" fontId="7" fillId="8" borderId="10" xfId="1" applyNumberFormat="1" applyFont="1" applyFill="1" applyBorder="1" applyAlignment="1">
      <alignment horizontal="center" vertical="center"/>
    </xf>
    <xf numFmtId="175" fontId="7" fillId="8" borderId="19" xfId="1" applyNumberFormat="1" applyFont="1" applyFill="1" applyBorder="1" applyAlignment="1">
      <alignment horizontal="center" vertical="center"/>
    </xf>
    <xf numFmtId="9" fontId="0" fillId="6" borderId="0" xfId="1" applyFont="1" applyFill="1" applyAlignment="1">
      <alignment vertical="center"/>
    </xf>
    <xf numFmtId="9" fontId="0" fillId="6" borderId="0" xfId="1" applyNumberFormat="1" applyFont="1" applyFill="1" applyAlignment="1">
      <alignment vertical="center"/>
    </xf>
    <xf numFmtId="9" fontId="0" fillId="6" borderId="0" xfId="1" applyFont="1" applyFill="1" applyAlignment="1">
      <alignment horizontal="center" vertical="center"/>
    </xf>
    <xf numFmtId="9" fontId="0" fillId="6" borderId="0" xfId="1" applyFont="1" applyFill="1"/>
    <xf numFmtId="9" fontId="0" fillId="6" borderId="0" xfId="0" applyNumberFormat="1" applyFill="1"/>
    <xf numFmtId="0" fontId="7" fillId="0" borderId="9" xfId="0" applyFont="1" applyFill="1" applyBorder="1" applyAlignment="1">
      <alignment horizontal="center" vertical="center"/>
    </xf>
    <xf numFmtId="170" fontId="25" fillId="9" borderId="5" xfId="0" applyNumberFormat="1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left" vertical="center" wrapText="1"/>
    </xf>
    <xf numFmtId="0" fontId="4" fillId="14" borderId="51" xfId="0" applyFont="1" applyFill="1" applyBorder="1" applyAlignment="1">
      <alignment horizontal="left" vertical="center" wrapText="1"/>
    </xf>
    <xf numFmtId="0" fontId="4" fillId="14" borderId="32" xfId="0" applyFont="1" applyFill="1" applyBorder="1" applyAlignment="1">
      <alignment horizontal="left" vertical="center" wrapText="1"/>
    </xf>
    <xf numFmtId="0" fontId="4" fillId="14" borderId="55" xfId="0" applyFont="1" applyFill="1" applyBorder="1" applyAlignment="1">
      <alignment horizontal="left" vertical="center" wrapText="1"/>
    </xf>
    <xf numFmtId="0" fontId="28" fillId="9" borderId="23" xfId="0" applyFont="1" applyFill="1" applyBorder="1" applyAlignment="1">
      <alignment horizontal="center" vertical="center" wrapText="1"/>
    </xf>
    <xf numFmtId="0" fontId="28" fillId="9" borderId="4" xfId="0" applyFont="1" applyFill="1" applyBorder="1" applyAlignment="1">
      <alignment horizontal="center" vertical="center" wrapText="1"/>
    </xf>
    <xf numFmtId="164" fontId="28" fillId="9" borderId="5" xfId="0" applyNumberFormat="1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 wrapText="1"/>
    </xf>
    <xf numFmtId="0" fontId="29" fillId="11" borderId="18" xfId="0" applyFont="1" applyFill="1" applyBorder="1" applyAlignment="1">
      <alignment horizontal="center" vertical="center" wrapText="1"/>
    </xf>
    <xf numFmtId="0" fontId="29" fillId="11" borderId="18" xfId="7" applyFont="1" applyFill="1" applyBorder="1" applyAlignment="1">
      <alignment horizontal="center" vertical="center" wrapText="1"/>
    </xf>
    <xf numFmtId="167" fontId="29" fillId="11" borderId="18" xfId="7" applyNumberFormat="1" applyFont="1" applyFill="1" applyBorder="1" applyAlignment="1">
      <alignment horizontal="center" vertical="center" wrapText="1"/>
    </xf>
    <xf numFmtId="10" fontId="29" fillId="11" borderId="19" xfId="7" applyNumberFormat="1" applyFon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18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0" fontId="26" fillId="16" borderId="14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14" borderId="15" xfId="0" applyFont="1" applyFill="1" applyBorder="1" applyAlignment="1">
      <alignment vertical="center"/>
    </xf>
    <xf numFmtId="0" fontId="4" fillId="14" borderId="16" xfId="0" applyFont="1" applyFill="1" applyBorder="1" applyAlignment="1">
      <alignment vertical="center"/>
    </xf>
    <xf numFmtId="0" fontId="4" fillId="14" borderId="12" xfId="0" applyFont="1" applyFill="1" applyBorder="1" applyAlignment="1">
      <alignment vertical="center"/>
    </xf>
    <xf numFmtId="0" fontId="4" fillId="14" borderId="14" xfId="0" applyFont="1" applyFill="1" applyBorder="1" applyAlignment="1">
      <alignment vertical="center"/>
    </xf>
    <xf numFmtId="0" fontId="13" fillId="14" borderId="15" xfId="0" applyFont="1" applyFill="1" applyBorder="1" applyAlignment="1">
      <alignment vertical="center"/>
    </xf>
    <xf numFmtId="0" fontId="13" fillId="14" borderId="20" xfId="0" applyFont="1" applyFill="1" applyBorder="1" applyAlignment="1">
      <alignment vertical="center"/>
    </xf>
    <xf numFmtId="0" fontId="4" fillId="14" borderId="20" xfId="0" applyFont="1" applyFill="1" applyBorder="1" applyAlignment="1">
      <alignment vertical="center"/>
    </xf>
    <xf numFmtId="9" fontId="0" fillId="0" borderId="48" xfId="1" applyFont="1" applyBorder="1"/>
    <xf numFmtId="164" fontId="0" fillId="0" borderId="41" xfId="0" applyNumberFormat="1" applyBorder="1"/>
    <xf numFmtId="164" fontId="0" fillId="0" borderId="38" xfId="0" applyNumberFormat="1" applyBorder="1"/>
    <xf numFmtId="0" fontId="7" fillId="0" borderId="5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 wrapText="1"/>
    </xf>
    <xf numFmtId="0" fontId="35" fillId="0" borderId="49" xfId="0" applyFont="1" applyFill="1" applyBorder="1" applyAlignment="1">
      <alignment horizontal="center" vertical="center"/>
    </xf>
    <xf numFmtId="0" fontId="35" fillId="0" borderId="57" xfId="0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9" fontId="0" fillId="0" borderId="9" xfId="1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9" fontId="38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4" fontId="7" fillId="0" borderId="49" xfId="0" applyNumberFormat="1" applyFont="1" applyFill="1" applyBorder="1" applyAlignment="1">
      <alignment horizontal="center" vertical="center"/>
    </xf>
    <xf numFmtId="14" fontId="13" fillId="7" borderId="49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4" fontId="7" fillId="0" borderId="57" xfId="0" applyNumberFormat="1" applyFont="1" applyFill="1" applyBorder="1" applyAlignment="1">
      <alignment horizontal="center" vertical="center"/>
    </xf>
    <xf numFmtId="14" fontId="4" fillId="7" borderId="49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14" fontId="19" fillId="0" borderId="49" xfId="0" applyNumberFormat="1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14" fontId="13" fillId="7" borderId="28" xfId="0" applyNumberFormat="1" applyFont="1" applyFill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14" fontId="13" fillId="7" borderId="49" xfId="0" applyNumberFormat="1" applyFont="1" applyFill="1" applyBorder="1" applyAlignment="1">
      <alignment horizontal="center" vertical="center"/>
    </xf>
    <xf numFmtId="14" fontId="8" fillId="7" borderId="49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0" fontId="29" fillId="11" borderId="62" xfId="7" applyFont="1" applyFill="1" applyBorder="1" applyAlignment="1">
      <alignment horizontal="center" vertical="center" wrapText="1"/>
    </xf>
    <xf numFmtId="10" fontId="0" fillId="8" borderId="63" xfId="1" applyNumberFormat="1" applyFont="1" applyFill="1" applyBorder="1" applyAlignment="1">
      <alignment horizontal="center" vertical="center"/>
    </xf>
    <xf numFmtId="10" fontId="0" fillId="8" borderId="64" xfId="1" applyNumberFormat="1" applyFont="1" applyFill="1" applyBorder="1" applyAlignment="1">
      <alignment horizontal="center" vertical="center"/>
    </xf>
    <xf numFmtId="10" fontId="0" fillId="8" borderId="62" xfId="1" applyNumberFormat="1" applyFont="1" applyFill="1" applyBorder="1" applyAlignment="1">
      <alignment horizontal="center" vertical="center"/>
    </xf>
    <xf numFmtId="0" fontId="29" fillId="11" borderId="20" xfId="2" applyFont="1" applyFill="1" applyBorder="1" applyAlignment="1">
      <alignment horizontal="center" vertical="center" wrapText="1"/>
    </xf>
    <xf numFmtId="10" fontId="0" fillId="8" borderId="61" xfId="1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14" fontId="13" fillId="7" borderId="51" xfId="0" applyNumberFormat="1" applyFont="1" applyFill="1" applyBorder="1" applyAlignment="1">
      <alignment horizontal="center" vertical="center"/>
    </xf>
    <xf numFmtId="14" fontId="7" fillId="0" borderId="51" xfId="0" applyNumberFormat="1" applyFont="1" applyFill="1" applyBorder="1" applyAlignment="1">
      <alignment horizontal="center" vertical="center"/>
    </xf>
    <xf numFmtId="14" fontId="7" fillId="0" borderId="55" xfId="0" applyNumberFormat="1" applyFont="1" applyFill="1" applyBorder="1" applyAlignment="1">
      <alignment horizontal="center" vertical="center"/>
    </xf>
    <xf numFmtId="14" fontId="13" fillId="7" borderId="49" xfId="0" applyNumberFormat="1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0" fontId="36" fillId="0" borderId="49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7" fontId="0" fillId="0" borderId="50" xfId="0" applyNumberFormat="1" applyFill="1" applyBorder="1" applyAlignment="1">
      <alignment horizontal="center" vertical="center"/>
    </xf>
    <xf numFmtId="14" fontId="4" fillId="7" borderId="28" xfId="0" applyNumberFormat="1" applyFont="1" applyFill="1" applyBorder="1" applyAlignment="1">
      <alignment horizontal="center" vertical="center" wrapText="1"/>
    </xf>
    <xf numFmtId="14" fontId="4" fillId="0" borderId="49" xfId="0" applyNumberFormat="1" applyFont="1" applyFill="1" applyBorder="1" applyAlignment="1">
      <alignment horizontal="center" vertical="center"/>
    </xf>
    <xf numFmtId="14" fontId="4" fillId="17" borderId="49" xfId="0" applyNumberFormat="1" applyFont="1" applyFill="1" applyBorder="1" applyAlignment="1">
      <alignment horizontal="center" vertical="center"/>
    </xf>
    <xf numFmtId="14" fontId="4" fillId="7" borderId="49" xfId="0" applyNumberFormat="1" applyFont="1" applyFill="1" applyBorder="1" applyAlignment="1">
      <alignment horizontal="center" vertical="center" wrapText="1"/>
    </xf>
    <xf numFmtId="14" fontId="4" fillId="0" borderId="57" xfId="0" applyNumberFormat="1" applyFont="1" applyFill="1" applyBorder="1" applyAlignment="1">
      <alignment horizontal="center" vertical="center"/>
    </xf>
    <xf numFmtId="14" fontId="0" fillId="0" borderId="28" xfId="0" applyNumberFormat="1" applyFont="1" applyFill="1" applyBorder="1" applyAlignment="1">
      <alignment horizontal="center" vertical="center"/>
    </xf>
    <xf numFmtId="14" fontId="0" fillId="0" borderId="49" xfId="0" applyNumberFormat="1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14" fontId="19" fillId="7" borderId="49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2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18" borderId="1" xfId="0" applyNumberFormat="1" applyFont="1" applyFill="1" applyBorder="1" applyAlignment="1">
      <alignment horizontal="center" vertical="center"/>
    </xf>
    <xf numFmtId="170" fontId="4" fillId="0" borderId="8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3" fillId="0" borderId="18" xfId="0" applyNumberFormat="1" applyFont="1" applyFill="1" applyBorder="1" applyAlignment="1">
      <alignment horizontal="center" vertical="center"/>
    </xf>
    <xf numFmtId="2" fontId="4" fillId="0" borderId="59" xfId="0" applyNumberFormat="1" applyFont="1" applyFill="1" applyBorder="1" applyAlignment="1">
      <alignment horizontal="center" vertical="center"/>
    </xf>
    <xf numFmtId="10" fontId="4" fillId="8" borderId="60" xfId="1" applyNumberFormat="1" applyFont="1" applyFill="1" applyBorder="1" applyAlignment="1">
      <alignment horizontal="center" vertical="center"/>
    </xf>
    <xf numFmtId="0" fontId="19" fillId="7" borderId="49" xfId="0" applyFont="1" applyFill="1" applyBorder="1" applyAlignment="1">
      <alignment horizontal="center" vertical="center"/>
    </xf>
    <xf numFmtId="174" fontId="7" fillId="0" borderId="23" xfId="0" applyNumberFormat="1" applyFont="1" applyFill="1" applyBorder="1" applyAlignment="1">
      <alignment horizontal="center" vertical="center" wrapText="1"/>
    </xf>
    <xf numFmtId="0" fontId="0" fillId="17" borderId="49" xfId="0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0" fontId="0" fillId="17" borderId="57" xfId="0" applyFont="1" applyFill="1" applyBorder="1" applyAlignment="1">
      <alignment horizontal="center" vertical="center"/>
    </xf>
    <xf numFmtId="14" fontId="4" fillId="17" borderId="49" xfId="0" applyNumberFormat="1" applyFont="1" applyFill="1" applyBorder="1" applyAlignment="1">
      <alignment horizontal="center" vertical="center" wrapText="1"/>
    </xf>
    <xf numFmtId="14" fontId="0" fillId="17" borderId="49" xfId="0" applyNumberFormat="1" applyFont="1" applyFill="1" applyBorder="1" applyAlignment="1">
      <alignment horizontal="center" vertical="center"/>
    </xf>
    <xf numFmtId="14" fontId="13" fillId="7" borderId="49" xfId="0" applyNumberFormat="1" applyFont="1" applyFill="1" applyBorder="1" applyAlignment="1">
      <alignment horizontal="center" vertical="center"/>
    </xf>
    <xf numFmtId="10" fontId="0" fillId="8" borderId="13" xfId="1" applyNumberFormat="1" applyFont="1" applyFill="1" applyBorder="1" applyAlignment="1">
      <alignment horizontal="center" vertical="center"/>
    </xf>
    <xf numFmtId="10" fontId="0" fillId="8" borderId="26" xfId="1" applyNumberFormat="1" applyFont="1" applyFill="1" applyBorder="1" applyAlignment="1">
      <alignment horizontal="center" vertical="center"/>
    </xf>
    <xf numFmtId="0" fontId="0" fillId="11" borderId="31" xfId="0" applyFont="1" applyFill="1" applyBorder="1" applyAlignment="1">
      <alignment horizontal="center" vertical="center"/>
    </xf>
    <xf numFmtId="0" fontId="0" fillId="11" borderId="7" xfId="0" applyFont="1" applyFill="1" applyBorder="1" applyAlignment="1">
      <alignment horizontal="center" vertical="center"/>
    </xf>
    <xf numFmtId="0" fontId="0" fillId="11" borderId="32" xfId="0" applyFont="1" applyFill="1" applyBorder="1" applyAlignment="1">
      <alignment horizontal="center" vertical="center"/>
    </xf>
    <xf numFmtId="0" fontId="0" fillId="11" borderId="17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7" fillId="11" borderId="41" xfId="0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/>
    </xf>
    <xf numFmtId="0" fontId="7" fillId="11" borderId="38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vertical="center" textRotation="90"/>
    </xf>
    <xf numFmtId="0" fontId="28" fillId="9" borderId="7" xfId="0" applyFont="1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/>
    </xf>
    <xf numFmtId="174" fontId="7" fillId="0" borderId="23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9" xfId="3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7" fillId="0" borderId="1" xfId="3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14" borderId="7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0" fontId="4" fillId="14" borderId="17" xfId="0" applyFont="1" applyFill="1" applyBorder="1" applyAlignment="1">
      <alignment horizontal="center" vertical="center"/>
    </xf>
    <xf numFmtId="172" fontId="25" fillId="9" borderId="33" xfId="0" applyNumberFormat="1" applyFont="1" applyFill="1" applyBorder="1" applyAlignment="1">
      <alignment horizontal="center" vertical="center"/>
    </xf>
    <xf numFmtId="172" fontId="25" fillId="9" borderId="34" xfId="0" applyNumberFormat="1" applyFont="1" applyFill="1" applyBorder="1" applyAlignment="1">
      <alignment horizontal="center" vertical="center"/>
    </xf>
    <xf numFmtId="172" fontId="25" fillId="9" borderId="45" xfId="0" applyNumberFormat="1" applyFont="1" applyFill="1" applyBorder="1" applyAlignment="1">
      <alignment horizontal="center" vertical="center"/>
    </xf>
    <xf numFmtId="0" fontId="25" fillId="9" borderId="29" xfId="0" applyFont="1" applyFill="1" applyBorder="1" applyAlignment="1">
      <alignment horizontal="center" vertical="center"/>
    </xf>
    <xf numFmtId="0" fontId="25" fillId="9" borderId="30" xfId="0" applyFont="1" applyFill="1" applyBorder="1" applyAlignment="1">
      <alignment horizontal="center" vertical="center"/>
    </xf>
    <xf numFmtId="0" fontId="25" fillId="9" borderId="43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left" vertical="center" wrapText="1"/>
    </xf>
    <xf numFmtId="0" fontId="4" fillId="14" borderId="17" xfId="0" applyFont="1" applyFill="1" applyBorder="1" applyAlignment="1">
      <alignment horizontal="left" vertical="center" wrapText="1"/>
    </xf>
    <xf numFmtId="0" fontId="4" fillId="14" borderId="39" xfId="0" applyFont="1" applyFill="1" applyBorder="1" applyAlignment="1">
      <alignment horizontal="left" vertical="center"/>
    </xf>
    <xf numFmtId="0" fontId="4" fillId="14" borderId="40" xfId="0" applyFont="1" applyFill="1" applyBorder="1" applyAlignment="1">
      <alignment horizontal="left" vertical="center"/>
    </xf>
    <xf numFmtId="0" fontId="4" fillId="14" borderId="35" xfId="0" applyFont="1" applyFill="1" applyBorder="1" applyAlignment="1">
      <alignment horizontal="left" vertical="center"/>
    </xf>
    <xf numFmtId="0" fontId="4" fillId="14" borderId="51" xfId="0" applyFont="1" applyFill="1" applyBorder="1" applyAlignment="1">
      <alignment horizontal="left" vertical="center"/>
    </xf>
    <xf numFmtId="0" fontId="4" fillId="14" borderId="11" xfId="0" applyFont="1" applyFill="1" applyBorder="1" applyAlignment="1">
      <alignment horizontal="left" vertical="center"/>
    </xf>
    <xf numFmtId="166" fontId="4" fillId="0" borderId="58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4" fillId="0" borderId="58" xfId="0" applyNumberFormat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9" fontId="4" fillId="0" borderId="58" xfId="1" applyFont="1" applyFill="1" applyBorder="1" applyAlignment="1">
      <alignment horizontal="center" vertical="center"/>
    </xf>
    <xf numFmtId="9" fontId="4" fillId="0" borderId="12" xfId="1" applyFont="1" applyFill="1" applyBorder="1" applyAlignment="1">
      <alignment horizontal="center" vertical="center"/>
    </xf>
    <xf numFmtId="164" fontId="0" fillId="0" borderId="59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9" fontId="0" fillId="0" borderId="59" xfId="1" applyFont="1" applyFill="1" applyBorder="1" applyAlignment="1">
      <alignment horizontal="center" vertical="center"/>
    </xf>
    <xf numFmtId="9" fontId="0" fillId="0" borderId="9" xfId="1" applyFont="1" applyFill="1" applyBorder="1" applyAlignment="1">
      <alignment horizontal="center" vertical="center"/>
    </xf>
    <xf numFmtId="164" fontId="0" fillId="0" borderId="58" xfId="1" applyNumberFormat="1" applyFont="1" applyFill="1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 vertical="center"/>
    </xf>
    <xf numFmtId="9" fontId="7" fillId="0" borderId="13" xfId="1" applyFont="1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 wrapText="1"/>
    </xf>
    <xf numFmtId="0" fontId="0" fillId="11" borderId="31" xfId="0" applyFill="1" applyBorder="1" applyAlignment="1">
      <alignment horizontal="center" vertical="center" wrapText="1"/>
    </xf>
    <xf numFmtId="0" fontId="7" fillId="11" borderId="32" xfId="0" applyFont="1" applyFill="1" applyBorder="1" applyAlignment="1">
      <alignment horizontal="center" vertical="center" wrapText="1"/>
    </xf>
    <xf numFmtId="0" fontId="7" fillId="11" borderId="31" xfId="0" applyFont="1" applyFill="1" applyBorder="1" applyAlignment="1">
      <alignment horizontal="center" vertical="center" wrapText="1"/>
    </xf>
    <xf numFmtId="0" fontId="0" fillId="11" borderId="51" xfId="0" applyFill="1" applyBorder="1" applyAlignment="1">
      <alignment horizontal="left" vertical="center" wrapText="1"/>
    </xf>
    <xf numFmtId="0" fontId="7" fillId="11" borderId="51" xfId="0" applyFont="1" applyFill="1" applyBorder="1" applyAlignment="1">
      <alignment horizontal="left" vertical="center" wrapText="1"/>
    </xf>
    <xf numFmtId="14" fontId="4" fillId="7" borderId="49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8" xfId="0" applyNumberFormat="1" applyFont="1" applyFill="1" applyBorder="1" applyAlignment="1">
      <alignment horizontal="center" vertical="center"/>
    </xf>
    <xf numFmtId="9" fontId="13" fillId="0" borderId="26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9" fontId="13" fillId="0" borderId="19" xfId="1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/>
    </xf>
    <xf numFmtId="164" fontId="13" fillId="0" borderId="20" xfId="0" applyNumberFormat="1" applyFont="1" applyFill="1" applyBorder="1" applyAlignment="1">
      <alignment horizontal="center" vertical="center"/>
    </xf>
    <xf numFmtId="9" fontId="13" fillId="0" borderId="60" xfId="1" applyFont="1" applyFill="1" applyBorder="1" applyAlignment="1">
      <alignment horizontal="center" vertical="center" wrapText="1"/>
    </xf>
    <xf numFmtId="9" fontId="13" fillId="0" borderId="26" xfId="1" applyFont="1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14" fontId="8" fillId="7" borderId="49" xfId="0" applyNumberFormat="1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textRotation="90"/>
    </xf>
    <xf numFmtId="0" fontId="9" fillId="11" borderId="17" xfId="0" applyFont="1" applyFill="1" applyBorder="1" applyAlignment="1">
      <alignment horizontal="center" vertical="center" textRotation="90"/>
    </xf>
    <xf numFmtId="166" fontId="13" fillId="0" borderId="5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164" fontId="13" fillId="0" borderId="59" xfId="0" applyNumberFormat="1" applyFont="1" applyFill="1" applyBorder="1" applyAlignment="1">
      <alignment horizontal="center" vertical="center" wrapText="1"/>
    </xf>
    <xf numFmtId="166" fontId="13" fillId="0" borderId="58" xfId="0" applyNumberFormat="1" applyFont="1" applyFill="1" applyBorder="1" applyAlignment="1">
      <alignment horizontal="center" vertical="center" wrapText="1"/>
    </xf>
    <xf numFmtId="166" fontId="13" fillId="0" borderId="12" xfId="0" applyNumberFormat="1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 wrapText="1"/>
    </xf>
    <xf numFmtId="0" fontId="11" fillId="12" borderId="31" xfId="0" applyFont="1" applyFill="1" applyBorder="1" applyAlignment="1">
      <alignment horizontal="center" vertical="center" wrapText="1"/>
    </xf>
    <xf numFmtId="0" fontId="12" fillId="11" borderId="32" xfId="0" applyFont="1" applyFill="1" applyBorder="1" applyAlignment="1">
      <alignment horizontal="center" vertical="center" wrapText="1"/>
    </xf>
    <xf numFmtId="0" fontId="12" fillId="11" borderId="31" xfId="0" applyFont="1" applyFill="1" applyBorder="1" applyAlignment="1">
      <alignment horizontal="center" vertical="center" wrapText="1"/>
    </xf>
    <xf numFmtId="14" fontId="4" fillId="7" borderId="32" xfId="0" applyNumberFormat="1" applyFont="1" applyFill="1" applyBorder="1" applyAlignment="1">
      <alignment horizontal="center" vertical="center" wrapText="1"/>
    </xf>
    <xf numFmtId="14" fontId="4" fillId="7" borderId="31" xfId="0" applyNumberFormat="1" applyFont="1" applyFill="1" applyBorder="1" applyAlignment="1">
      <alignment horizontal="center" vertical="center" wrapText="1"/>
    </xf>
    <xf numFmtId="0" fontId="7" fillId="11" borderId="41" xfId="0" applyFont="1" applyFill="1" applyBorder="1" applyAlignment="1">
      <alignment horizontal="center" vertical="center" wrapText="1"/>
    </xf>
    <xf numFmtId="14" fontId="4" fillId="7" borderId="32" xfId="0" applyNumberFormat="1" applyFont="1" applyFill="1" applyBorder="1" applyAlignment="1">
      <alignment horizontal="center" vertical="center"/>
    </xf>
    <xf numFmtId="14" fontId="4" fillId="7" borderId="31" xfId="0" applyNumberFormat="1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 wrapText="1"/>
    </xf>
    <xf numFmtId="3" fontId="7" fillId="11" borderId="32" xfId="0" applyNumberFormat="1" applyFont="1" applyFill="1" applyBorder="1" applyAlignment="1">
      <alignment horizontal="center" vertical="center" wrapText="1"/>
    </xf>
    <xf numFmtId="3" fontId="7" fillId="11" borderId="31" xfId="0" applyNumberFormat="1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textRotation="90"/>
    </xf>
    <xf numFmtId="0" fontId="9" fillId="11" borderId="51" xfId="0" applyFont="1" applyFill="1" applyBorder="1" applyAlignment="1">
      <alignment horizontal="center" vertical="center" textRotation="90"/>
    </xf>
    <xf numFmtId="0" fontId="9" fillId="11" borderId="55" xfId="0" applyFont="1" applyFill="1" applyBorder="1" applyAlignment="1">
      <alignment horizontal="center" vertical="center" textRotation="90"/>
    </xf>
    <xf numFmtId="0" fontId="7" fillId="11" borderId="31" xfId="0" applyFont="1" applyFill="1" applyBorder="1" applyAlignment="1">
      <alignment horizontal="left" vertical="center" wrapText="1"/>
    </xf>
    <xf numFmtId="0" fontId="0" fillId="11" borderId="31" xfId="0" applyFill="1" applyBorder="1" applyAlignment="1">
      <alignment horizontal="left" vertical="center" wrapText="1"/>
    </xf>
    <xf numFmtId="164" fontId="7" fillId="0" borderId="12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9" fontId="7" fillId="0" borderId="26" xfId="1" applyFont="1" applyFill="1" applyBorder="1" applyAlignment="1">
      <alignment horizontal="center" vertical="center"/>
    </xf>
    <xf numFmtId="164" fontId="7" fillId="0" borderId="41" xfId="0" applyNumberFormat="1" applyFont="1" applyFill="1" applyBorder="1" applyAlignment="1">
      <alignment horizontal="center" vertical="center"/>
    </xf>
    <xf numFmtId="0" fontId="0" fillId="11" borderId="55" xfId="0" applyFill="1" applyBorder="1" applyAlignment="1">
      <alignment horizontal="left" vertical="center" wrapText="1"/>
    </xf>
    <xf numFmtId="0" fontId="7" fillId="11" borderId="55" xfId="0" applyFont="1" applyFill="1" applyBorder="1" applyAlignment="1">
      <alignment horizontal="left" vertical="center" wrapText="1"/>
    </xf>
    <xf numFmtId="0" fontId="0" fillId="11" borderId="15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8" fillId="7" borderId="49" xfId="0" applyFont="1" applyFill="1" applyBorder="1" applyAlignment="1">
      <alignment horizontal="center" vertical="center"/>
    </xf>
    <xf numFmtId="0" fontId="12" fillId="12" borderId="32" xfId="0" applyFont="1" applyFill="1" applyBorder="1" applyAlignment="1">
      <alignment horizontal="center" vertical="center" wrapText="1"/>
    </xf>
    <xf numFmtId="0" fontId="12" fillId="12" borderId="31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left" vertical="center" wrapText="1"/>
    </xf>
    <xf numFmtId="0" fontId="11" fillId="12" borderId="31" xfId="0" applyFont="1" applyFill="1" applyBorder="1" applyAlignment="1">
      <alignment horizontal="left" vertical="center" wrapText="1"/>
    </xf>
    <xf numFmtId="172" fontId="27" fillId="9" borderId="33" xfId="0" applyNumberFormat="1" applyFont="1" applyFill="1" applyBorder="1" applyAlignment="1">
      <alignment horizontal="center" vertical="center"/>
    </xf>
    <xf numFmtId="172" fontId="27" fillId="9" borderId="34" xfId="0" applyNumberFormat="1" applyFont="1" applyFill="1" applyBorder="1" applyAlignment="1">
      <alignment horizontal="center" vertical="center"/>
    </xf>
    <xf numFmtId="172" fontId="27" fillId="9" borderId="45" xfId="0" applyNumberFormat="1" applyFont="1" applyFill="1" applyBorder="1" applyAlignment="1">
      <alignment horizontal="center" vertical="center"/>
    </xf>
    <xf numFmtId="0" fontId="12" fillId="11" borderId="32" xfId="0" applyFont="1" applyFill="1" applyBorder="1" applyAlignment="1">
      <alignment horizontal="left" vertical="center" wrapText="1"/>
    </xf>
    <xf numFmtId="0" fontId="12" fillId="11" borderId="31" xfId="0" applyFont="1" applyFill="1" applyBorder="1" applyAlignment="1">
      <alignment horizontal="left" vertical="center" wrapText="1"/>
    </xf>
    <xf numFmtId="164" fontId="7" fillId="0" borderId="18" xfId="0" applyNumberFormat="1" applyFont="1" applyFill="1" applyBorder="1" applyAlignment="1">
      <alignment horizontal="center" vertical="center"/>
    </xf>
    <xf numFmtId="9" fontId="7" fillId="0" borderId="19" xfId="1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 textRotation="90"/>
    </xf>
    <xf numFmtId="0" fontId="10" fillId="11" borderId="11" xfId="0" applyFont="1" applyFill="1" applyBorder="1" applyAlignment="1">
      <alignment horizontal="center" vertical="center" textRotation="90"/>
    </xf>
    <xf numFmtId="0" fontId="10" fillId="11" borderId="17" xfId="0" applyFont="1" applyFill="1" applyBorder="1" applyAlignment="1">
      <alignment horizontal="center" vertical="center" textRotation="90"/>
    </xf>
    <xf numFmtId="0" fontId="11" fillId="12" borderId="11" xfId="0" applyFont="1" applyFill="1" applyBorder="1" applyAlignment="1">
      <alignment horizontal="left" vertical="center" wrapText="1"/>
    </xf>
    <xf numFmtId="0" fontId="12" fillId="12" borderId="32" xfId="0" applyFont="1" applyFill="1" applyBorder="1" applyAlignment="1">
      <alignment horizontal="left" vertical="center" wrapText="1"/>
    </xf>
    <xf numFmtId="0" fontId="12" fillId="12" borderId="31" xfId="0" applyFont="1" applyFill="1" applyBorder="1" applyAlignment="1">
      <alignment horizontal="left" vertical="center" wrapText="1"/>
    </xf>
    <xf numFmtId="0" fontId="12" fillId="11" borderId="17" xfId="0" applyFont="1" applyFill="1" applyBorder="1" applyAlignment="1">
      <alignment horizontal="left" vertical="center" wrapText="1"/>
    </xf>
    <xf numFmtId="0" fontId="12" fillId="11" borderId="17" xfId="0" applyFont="1" applyFill="1" applyBorder="1" applyAlignment="1">
      <alignment horizontal="center" vertical="center" wrapText="1"/>
    </xf>
    <xf numFmtId="14" fontId="13" fillId="7" borderId="49" xfId="0" applyNumberFormat="1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0" fontId="9" fillId="11" borderId="31" xfId="0" applyFont="1" applyFill="1" applyBorder="1" applyAlignment="1">
      <alignment horizontal="center" vertical="center" textRotation="90" wrapText="1"/>
    </xf>
    <xf numFmtId="0" fontId="9" fillId="11" borderId="51" xfId="0" applyFont="1" applyFill="1" applyBorder="1" applyAlignment="1">
      <alignment horizontal="center" vertical="center" textRotation="90" wrapText="1"/>
    </xf>
    <xf numFmtId="0" fontId="9" fillId="11" borderId="55" xfId="0" applyFont="1" applyFill="1" applyBorder="1" applyAlignment="1">
      <alignment horizontal="center" vertical="center" textRotation="90" wrapText="1"/>
    </xf>
    <xf numFmtId="9" fontId="4" fillId="8" borderId="13" xfId="1" applyFont="1" applyFill="1" applyBorder="1" applyAlignment="1">
      <alignment horizontal="center" vertical="center"/>
    </xf>
    <xf numFmtId="9" fontId="4" fillId="8" borderId="19" xfId="1" applyFont="1" applyFill="1" applyBorder="1" applyAlignment="1">
      <alignment horizontal="center" vertical="center"/>
    </xf>
    <xf numFmtId="0" fontId="4" fillId="11" borderId="47" xfId="0" applyFont="1" applyFill="1" applyBorder="1" applyAlignment="1">
      <alignment horizontal="center" vertical="center" wrapText="1"/>
    </xf>
    <xf numFmtId="0" fontId="4" fillId="11" borderId="55" xfId="0" applyFont="1" applyFill="1" applyBorder="1" applyAlignment="1">
      <alignment horizontal="center" vertical="center" wrapText="1"/>
    </xf>
    <xf numFmtId="0" fontId="0" fillId="10" borderId="15" xfId="0" applyFont="1" applyFill="1" applyBorder="1" applyAlignment="1">
      <alignment horizontal="center" vertical="center"/>
    </xf>
    <xf numFmtId="0" fontId="0" fillId="10" borderId="20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vertical="center"/>
    </xf>
    <xf numFmtId="0" fontId="0" fillId="10" borderId="18" xfId="0" applyFont="1" applyFill="1" applyBorder="1" applyAlignment="1">
      <alignment horizontal="center" vertical="center"/>
    </xf>
    <xf numFmtId="9" fontId="4" fillId="8" borderId="60" xfId="1" applyFont="1" applyFill="1" applyBorder="1" applyAlignment="1">
      <alignment horizontal="center" vertical="center"/>
    </xf>
    <xf numFmtId="9" fontId="4" fillId="8" borderId="65" xfId="1" applyFont="1" applyFill="1" applyBorder="1" applyAlignment="1">
      <alignment horizontal="center" vertical="center"/>
    </xf>
    <xf numFmtId="0" fontId="0" fillId="11" borderId="51" xfId="0" applyFont="1" applyFill="1" applyBorder="1" applyAlignment="1">
      <alignment horizontal="center" vertical="center"/>
    </xf>
    <xf numFmtId="0" fontId="0" fillId="11" borderId="55" xfId="0" applyFont="1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4" fontId="0" fillId="10" borderId="1" xfId="0" applyNumberFormat="1" applyFont="1" applyFill="1" applyBorder="1" applyAlignment="1">
      <alignment horizontal="center" vertical="center"/>
    </xf>
    <xf numFmtId="0" fontId="13" fillId="7" borderId="49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 wrapText="1"/>
    </xf>
    <xf numFmtId="0" fontId="0" fillId="11" borderId="51" xfId="0" applyFill="1" applyBorder="1" applyAlignment="1">
      <alignment horizontal="center" vertical="center"/>
    </xf>
    <xf numFmtId="172" fontId="27" fillId="9" borderId="29" xfId="0" applyNumberFormat="1" applyFont="1" applyFill="1" applyBorder="1" applyAlignment="1">
      <alignment horizontal="center" vertical="center"/>
    </xf>
    <xf numFmtId="172" fontId="27" fillId="9" borderId="30" xfId="0" applyNumberFormat="1" applyFont="1" applyFill="1" applyBorder="1" applyAlignment="1">
      <alignment horizontal="center" vertical="center"/>
    </xf>
    <xf numFmtId="172" fontId="27" fillId="9" borderId="43" xfId="0" applyNumberFormat="1" applyFont="1" applyFill="1" applyBorder="1" applyAlignment="1">
      <alignment horizontal="center" vertical="center"/>
    </xf>
    <xf numFmtId="0" fontId="26" fillId="9" borderId="15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4" fillId="11" borderId="31" xfId="0" applyFont="1" applyFill="1" applyBorder="1" applyAlignment="1">
      <alignment horizontal="center" vertical="center" wrapText="1"/>
    </xf>
    <xf numFmtId="0" fontId="4" fillId="11" borderId="51" xfId="0" applyFont="1" applyFill="1" applyBorder="1" applyAlignment="1">
      <alignment horizontal="center" vertical="center" wrapText="1"/>
    </xf>
    <xf numFmtId="0" fontId="0" fillId="11" borderId="31" xfId="0" applyFont="1" applyFill="1" applyBorder="1" applyAlignment="1">
      <alignment horizontal="center" vertical="center"/>
    </xf>
    <xf numFmtId="0" fontId="0" fillId="10" borderId="12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4" fontId="0" fillId="10" borderId="9" xfId="0" applyNumberFormat="1" applyFont="1" applyFill="1" applyBorder="1" applyAlignment="1">
      <alignment horizontal="center" vertical="center"/>
    </xf>
    <xf numFmtId="9" fontId="4" fillId="8" borderId="26" xfId="1" applyFont="1" applyFill="1" applyBorder="1" applyAlignment="1">
      <alignment horizontal="center" vertical="center"/>
    </xf>
    <xf numFmtId="166" fontId="13" fillId="0" borderId="9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textRotation="90" wrapText="1"/>
    </xf>
    <xf numFmtId="0" fontId="9" fillId="11" borderId="11" xfId="0" applyFont="1" applyFill="1" applyBorder="1" applyAlignment="1">
      <alignment horizontal="center" vertical="center" textRotation="90" wrapText="1"/>
    </xf>
    <xf numFmtId="0" fontId="9" fillId="11" borderId="17" xfId="0" applyFont="1" applyFill="1" applyBorder="1" applyAlignment="1">
      <alignment horizontal="center" vertical="center" textRotation="90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25" fillId="9" borderId="47" xfId="0" applyFont="1" applyFill="1" applyBorder="1" applyAlignment="1">
      <alignment horizontal="center" vertical="center" wrapText="1"/>
    </xf>
    <xf numFmtId="0" fontId="25" fillId="9" borderId="55" xfId="0" applyFont="1" applyFill="1" applyBorder="1" applyAlignment="1">
      <alignment horizontal="center" vertical="center" wrapText="1"/>
    </xf>
    <xf numFmtId="0" fontId="25" fillId="9" borderId="56" xfId="0" applyFont="1" applyFill="1" applyBorder="1" applyAlignment="1">
      <alignment horizontal="center" vertical="center" wrapText="1"/>
    </xf>
    <xf numFmtId="0" fontId="25" fillId="9" borderId="57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18" xfId="0" applyFont="1" applyFill="1" applyBorder="1" applyAlignment="1">
      <alignment horizontal="center" vertical="center" wrapText="1"/>
    </xf>
    <xf numFmtId="164" fontId="25" fillId="9" borderId="8" xfId="0" applyNumberFormat="1" applyFont="1" applyFill="1" applyBorder="1" applyAlignment="1">
      <alignment horizontal="center" vertical="center" wrapText="1"/>
    </xf>
    <xf numFmtId="164" fontId="25" fillId="9" borderId="18" xfId="0" applyNumberFormat="1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20" xfId="0" applyFont="1" applyFill="1" applyBorder="1" applyAlignment="1">
      <alignment horizontal="center" vertical="center" wrapText="1"/>
    </xf>
    <xf numFmtId="0" fontId="25" fillId="9" borderId="48" xfId="0" applyFont="1" applyFill="1" applyBorder="1" applyAlignment="1">
      <alignment horizontal="center" vertical="center" wrapText="1"/>
    </xf>
    <xf numFmtId="0" fontId="25" fillId="9" borderId="38" xfId="0" applyFont="1" applyFill="1" applyBorder="1" applyAlignment="1">
      <alignment horizontal="center" vertical="center" wrapText="1"/>
    </xf>
    <xf numFmtId="0" fontId="0" fillId="15" borderId="21" xfId="0" applyFill="1" applyBorder="1" applyAlignment="1">
      <alignment horizontal="left" vertical="center" wrapText="1"/>
    </xf>
    <xf numFmtId="0" fontId="0" fillId="15" borderId="9" xfId="0" applyFill="1" applyBorder="1" applyAlignment="1">
      <alignment horizontal="left" vertical="center" wrapText="1"/>
    </xf>
    <xf numFmtId="0" fontId="0" fillId="10" borderId="16" xfId="0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66" fontId="0" fillId="10" borderId="1" xfId="0" applyNumberFormat="1" applyFill="1" applyBorder="1" applyAlignment="1">
      <alignment horizontal="center" vertical="center"/>
    </xf>
    <xf numFmtId="10" fontId="0" fillId="8" borderId="13" xfId="1" applyNumberFormat="1" applyFont="1" applyFill="1" applyBorder="1" applyAlignment="1">
      <alignment horizontal="center" vertical="center"/>
    </xf>
    <xf numFmtId="0" fontId="29" fillId="11" borderId="8" xfId="4" applyFont="1" applyFill="1" applyBorder="1" applyAlignment="1">
      <alignment horizontal="center" vertical="center" wrapText="1"/>
    </xf>
    <xf numFmtId="0" fontId="29" fillId="11" borderId="18" xfId="4" applyFont="1" applyFill="1" applyBorder="1" applyAlignment="1">
      <alignment horizontal="center" vertical="center" wrapText="1"/>
    </xf>
    <xf numFmtId="0" fontId="30" fillId="11" borderId="8" xfId="0" applyFont="1" applyFill="1" applyBorder="1" applyAlignment="1">
      <alignment horizontal="center" vertical="center"/>
    </xf>
    <xf numFmtId="0" fontId="30" fillId="11" borderId="61" xfId="0" applyFont="1" applyFill="1" applyBorder="1" applyAlignment="1">
      <alignment horizontal="center" vertical="center"/>
    </xf>
    <xf numFmtId="0" fontId="30" fillId="11" borderId="15" xfId="0" applyFont="1" applyFill="1" applyBorder="1" applyAlignment="1">
      <alignment horizontal="center" vertical="center"/>
    </xf>
    <xf numFmtId="0" fontId="30" fillId="11" borderId="10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wrapText="1"/>
    </xf>
    <xf numFmtId="0" fontId="0" fillId="15" borderId="18" xfId="0" applyFill="1" applyBorder="1" applyAlignment="1">
      <alignment horizontal="left" vertical="center" wrapText="1"/>
    </xf>
    <xf numFmtId="0" fontId="0" fillId="10" borderId="20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166" fontId="0" fillId="10" borderId="18" xfId="0" applyNumberFormat="1" applyFill="1" applyBorder="1" applyAlignment="1">
      <alignment horizontal="center" vertical="center"/>
    </xf>
    <xf numFmtId="10" fontId="0" fillId="8" borderId="19" xfId="1" applyNumberFormat="1" applyFont="1" applyFill="1" applyBorder="1" applyAlignment="1">
      <alignment horizontal="center" vertical="center"/>
    </xf>
    <xf numFmtId="0" fontId="26" fillId="9" borderId="8" xfId="4" applyFont="1" applyFill="1" applyBorder="1" applyAlignment="1">
      <alignment horizontal="center" vertical="center" wrapText="1"/>
    </xf>
    <xf numFmtId="0" fontId="26" fillId="9" borderId="1" xfId="4" applyFont="1" applyFill="1" applyBorder="1" applyAlignment="1">
      <alignment horizontal="center" vertical="center" wrapText="1"/>
    </xf>
    <xf numFmtId="0" fontId="26" fillId="9" borderId="10" xfId="4" applyFont="1" applyFill="1" applyBorder="1" applyAlignment="1">
      <alignment horizontal="center" vertical="center" wrapText="1"/>
    </xf>
    <xf numFmtId="0" fontId="26" fillId="9" borderId="13" xfId="4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15" fillId="5" borderId="4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7" fillId="4" borderId="18" xfId="0" applyNumberFormat="1" applyFont="1" applyFill="1" applyBorder="1" applyAlignment="1">
      <alignment horizontal="center" vertical="center"/>
    </xf>
    <xf numFmtId="10" fontId="0" fillId="17" borderId="13" xfId="1" applyNumberFormat="1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 textRotation="90" wrapText="1"/>
    </xf>
    <xf numFmtId="0" fontId="5" fillId="15" borderId="16" xfId="0" applyFont="1" applyFill="1" applyBorder="1" applyAlignment="1">
      <alignment horizontal="center" vertical="center" textRotation="90" wrapText="1"/>
    </xf>
    <xf numFmtId="0" fontId="5" fillId="15" borderId="20" xfId="0" applyFont="1" applyFill="1" applyBorder="1" applyAlignment="1">
      <alignment horizontal="center" vertical="center" textRotation="90" wrapText="1"/>
    </xf>
    <xf numFmtId="0" fontId="29" fillId="9" borderId="39" xfId="4" applyFont="1" applyFill="1" applyBorder="1" applyAlignment="1">
      <alignment horizontal="center" vertical="center" wrapText="1"/>
    </xf>
    <xf numFmtId="0" fontId="29" fillId="9" borderId="40" xfId="4" applyFont="1" applyFill="1" applyBorder="1" applyAlignment="1">
      <alignment horizontal="center" vertical="center" wrapText="1"/>
    </xf>
    <xf numFmtId="0" fontId="26" fillId="9" borderId="15" xfId="4" applyFont="1" applyFill="1" applyBorder="1" applyAlignment="1">
      <alignment horizontal="center" vertical="center" wrapText="1"/>
    </xf>
    <xf numFmtId="0" fontId="26" fillId="9" borderId="16" xfId="4" applyFont="1" applyFill="1" applyBorder="1" applyAlignment="1">
      <alignment horizontal="center" vertical="center" wrapText="1"/>
    </xf>
    <xf numFmtId="3" fontId="26" fillId="9" borderId="8" xfId="0" applyNumberFormat="1" applyFont="1" applyFill="1" applyBorder="1" applyAlignment="1">
      <alignment horizontal="center" vertical="center"/>
    </xf>
    <xf numFmtId="164" fontId="0" fillId="10" borderId="18" xfId="0" applyNumberFormat="1" applyFill="1" applyBorder="1" applyAlignment="1">
      <alignment horizontal="center" vertical="center"/>
    </xf>
    <xf numFmtId="0" fontId="5" fillId="15" borderId="12" xfId="0" applyFont="1" applyFill="1" applyBorder="1" applyAlignment="1">
      <alignment horizontal="center" vertical="center" textRotation="90" wrapText="1"/>
    </xf>
    <xf numFmtId="10" fontId="0" fillId="8" borderId="10" xfId="1" applyNumberFormat="1" applyFont="1" applyFill="1" applyBorder="1" applyAlignment="1">
      <alignment horizontal="center" vertical="center"/>
    </xf>
    <xf numFmtId="0" fontId="0" fillId="15" borderId="8" xfId="0" applyFill="1" applyBorder="1" applyAlignment="1">
      <alignment horizontal="left" vertical="center" wrapText="1"/>
    </xf>
    <xf numFmtId="0" fontId="0" fillId="10" borderId="15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166" fontId="0" fillId="10" borderId="8" xfId="0" applyNumberFormat="1" applyFill="1" applyBorder="1" applyAlignment="1">
      <alignment horizontal="center" vertical="center"/>
    </xf>
    <xf numFmtId="10" fontId="0" fillId="17" borderId="19" xfId="1" applyNumberFormat="1" applyFont="1" applyFill="1" applyBorder="1" applyAlignment="1">
      <alignment horizontal="center" vertical="center"/>
    </xf>
    <xf numFmtId="0" fontId="29" fillId="11" borderId="15" xfId="4" applyFont="1" applyFill="1" applyBorder="1" applyAlignment="1">
      <alignment horizontal="center" vertical="center" wrapText="1"/>
    </xf>
    <xf numFmtId="0" fontId="29" fillId="11" borderId="20" xfId="4" applyFont="1" applyFill="1" applyBorder="1" applyAlignment="1">
      <alignment horizontal="center" vertical="center" wrapText="1"/>
    </xf>
    <xf numFmtId="2" fontId="27" fillId="9" borderId="29" xfId="0" applyNumberFormat="1" applyFont="1" applyFill="1" applyBorder="1" applyAlignment="1">
      <alignment horizontal="center" vertical="center"/>
    </xf>
    <xf numFmtId="2" fontId="27" fillId="9" borderId="30" xfId="0" applyNumberFormat="1" applyFont="1" applyFill="1" applyBorder="1" applyAlignment="1">
      <alignment horizontal="center" vertical="center"/>
    </xf>
    <xf numFmtId="2" fontId="27" fillId="9" borderId="43" xfId="0" applyNumberFormat="1" applyFont="1" applyFill="1" applyBorder="1" applyAlignment="1">
      <alignment horizontal="center" vertical="center"/>
    </xf>
    <xf numFmtId="10" fontId="0" fillId="8" borderId="26" xfId="1" applyNumberFormat="1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164" fontId="0" fillId="10" borderId="9" xfId="0" applyNumberForma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166" fontId="0" fillId="10" borderId="9" xfId="0" applyNumberFormat="1" applyFill="1" applyBorder="1" applyAlignment="1">
      <alignment horizontal="center" vertical="center"/>
    </xf>
    <xf numFmtId="3" fontId="26" fillId="16" borderId="48" xfId="0" applyNumberFormat="1" applyFont="1" applyFill="1" applyBorder="1" applyAlignment="1">
      <alignment horizontal="center" vertical="center" wrapText="1"/>
    </xf>
    <xf numFmtId="3" fontId="26" fillId="16" borderId="42" xfId="0" applyNumberFormat="1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/>
    </xf>
    <xf numFmtId="0" fontId="7" fillId="15" borderId="17" xfId="0" applyFont="1" applyFill="1" applyBorder="1" applyAlignment="1">
      <alignment horizontal="center" vertical="center"/>
    </xf>
    <xf numFmtId="3" fontId="26" fillId="16" borderId="39" xfId="0" applyNumberFormat="1" applyFont="1" applyFill="1" applyBorder="1" applyAlignment="1">
      <alignment horizontal="center" vertical="center" wrapText="1"/>
    </xf>
    <xf numFmtId="3" fontId="26" fillId="16" borderId="37" xfId="0" applyNumberFormat="1" applyFont="1" applyFill="1" applyBorder="1" applyAlignment="1">
      <alignment horizontal="center" vertical="center" wrapText="1"/>
    </xf>
    <xf numFmtId="3" fontId="26" fillId="16" borderId="47" xfId="0" applyNumberFormat="1" applyFont="1" applyFill="1" applyBorder="1" applyAlignment="1">
      <alignment horizontal="center" vertical="center" wrapText="1"/>
    </xf>
    <xf numFmtId="3" fontId="26" fillId="16" borderId="32" xfId="0" applyNumberFormat="1" applyFont="1" applyFill="1" applyBorder="1" applyAlignment="1">
      <alignment horizontal="center" vertical="center" wrapText="1"/>
    </xf>
    <xf numFmtId="0" fontId="26" fillId="16" borderId="7" xfId="0" applyFont="1" applyFill="1" applyBorder="1" applyAlignment="1">
      <alignment horizontal="center" vertical="center"/>
    </xf>
    <xf numFmtId="0" fontId="26" fillId="16" borderId="17" xfId="0" applyFont="1" applyFill="1" applyBorder="1" applyAlignment="1">
      <alignment horizontal="center" vertical="center"/>
    </xf>
    <xf numFmtId="3" fontId="26" fillId="16" borderId="24" xfId="0" applyNumberFormat="1" applyFont="1" applyFill="1" applyBorder="1" applyAlignment="1">
      <alignment horizontal="center" vertical="center" wrapText="1"/>
    </xf>
    <xf numFmtId="3" fontId="26" fillId="16" borderId="46" xfId="0" applyNumberFormat="1" applyFont="1" applyFill="1" applyBorder="1" applyAlignment="1">
      <alignment horizontal="center" vertical="center" wrapText="1"/>
    </xf>
    <xf numFmtId="0" fontId="26" fillId="16" borderId="15" xfId="0" applyFont="1" applyFill="1" applyBorder="1" applyAlignment="1">
      <alignment horizontal="center"/>
    </xf>
    <xf numFmtId="0" fontId="26" fillId="16" borderId="10" xfId="0" applyFont="1" applyFill="1" applyBorder="1" applyAlignment="1">
      <alignment horizontal="center"/>
    </xf>
    <xf numFmtId="0" fontId="26" fillId="16" borderId="7" xfId="0" applyFont="1" applyFill="1" applyBorder="1" applyAlignment="1">
      <alignment horizontal="center" vertical="center" wrapText="1"/>
    </xf>
    <xf numFmtId="0" fontId="26" fillId="16" borderId="11" xfId="0" applyFont="1" applyFill="1" applyBorder="1" applyAlignment="1">
      <alignment horizontal="center" vertical="center" wrapText="1"/>
    </xf>
    <xf numFmtId="3" fontId="26" fillId="16" borderId="7" xfId="0" applyNumberFormat="1" applyFont="1" applyFill="1" applyBorder="1" applyAlignment="1">
      <alignment horizontal="center" vertical="center"/>
    </xf>
    <xf numFmtId="3" fontId="26" fillId="16" borderId="11" xfId="0" applyNumberFormat="1" applyFont="1" applyFill="1" applyBorder="1" applyAlignment="1">
      <alignment horizontal="center" vertical="center"/>
    </xf>
  </cellXfs>
  <cellStyles count="10">
    <cellStyle name="Bueno" xfId="2" builtinId="26"/>
    <cellStyle name="Excel Built-in Normal" xfId="3"/>
    <cellStyle name="Normal" xfId="0" builtinId="0"/>
    <cellStyle name="Normal 2" xfId="9"/>
    <cellStyle name="Normal 3" xfId="4"/>
    <cellStyle name="Normal 4" xfId="6"/>
    <cellStyle name="Normal 7" xfId="7"/>
    <cellStyle name="Porcentaje" xfId="1" builtinId="5"/>
    <cellStyle name="Porcentual 14" xfId="5"/>
    <cellStyle name="Porcentual 2" xfId="8"/>
  </cellStyles>
  <dxfs count="15">
    <dxf>
      <font>
        <b/>
        <i val="0"/>
        <color rgb="FFFF0000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 val="0"/>
        <i/>
        <color rgb="FFFF0000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K14"/>
  <sheetViews>
    <sheetView showGridLines="0" tabSelected="1" workbookViewId="0">
      <selection activeCell="C5" sqref="C5"/>
    </sheetView>
  </sheetViews>
  <sheetFormatPr baseColWidth="10" defaultRowHeight="15" x14ac:dyDescent="0.25"/>
  <cols>
    <col min="1" max="1" width="45.7109375" style="155" customWidth="1"/>
    <col min="2" max="2" width="11.42578125" style="155"/>
    <col min="3" max="3" width="24.42578125" style="155" customWidth="1"/>
    <col min="4" max="4" width="14.28515625" style="155" customWidth="1"/>
    <col min="5" max="5" width="14.5703125" style="155" customWidth="1"/>
    <col min="6" max="8" width="11.42578125" style="155"/>
    <col min="9" max="9" width="10" style="155" bestFit="1" customWidth="1"/>
    <col min="10" max="16384" width="11.42578125" style="155"/>
  </cols>
  <sheetData>
    <row r="1" spans="2:11" ht="35.25" customHeight="1" thickBot="1" x14ac:dyDescent="0.3"/>
    <row r="2" spans="2:11" ht="18" customHeight="1" x14ac:dyDescent="0.25">
      <c r="B2" s="354" t="s">
        <v>313</v>
      </c>
      <c r="C2" s="355"/>
      <c r="D2" s="355"/>
      <c r="E2" s="355"/>
      <c r="F2" s="355"/>
      <c r="G2" s="355"/>
      <c r="H2" s="355"/>
      <c r="I2" s="356"/>
    </row>
    <row r="3" spans="2:11" ht="16.5" thickBot="1" x14ac:dyDescent="0.3">
      <c r="B3" s="351">
        <v>43465</v>
      </c>
      <c r="C3" s="352"/>
      <c r="D3" s="352"/>
      <c r="E3" s="352"/>
      <c r="F3" s="352"/>
      <c r="G3" s="352"/>
      <c r="H3" s="352"/>
      <c r="I3" s="353"/>
      <c r="J3" s="52"/>
      <c r="K3" s="52"/>
    </row>
    <row r="4" spans="2:11" ht="15.75" thickBot="1" x14ac:dyDescent="0.3">
      <c r="B4" s="159"/>
      <c r="C4" s="159"/>
      <c r="D4" s="159"/>
      <c r="E4" s="159"/>
      <c r="F4" s="159"/>
      <c r="G4" s="159"/>
      <c r="H4" s="159"/>
      <c r="I4" s="159"/>
    </row>
    <row r="5" spans="2:11" ht="32.25" thickBot="1" x14ac:dyDescent="0.3">
      <c r="B5" s="60" t="s">
        <v>136</v>
      </c>
      <c r="C5" s="83" t="s">
        <v>1</v>
      </c>
      <c r="D5" s="63" t="s">
        <v>4</v>
      </c>
      <c r="E5" s="60" t="s">
        <v>5</v>
      </c>
      <c r="F5" s="60" t="s">
        <v>6</v>
      </c>
      <c r="G5" s="60" t="s">
        <v>7</v>
      </c>
      <c r="H5" s="60" t="s">
        <v>8</v>
      </c>
      <c r="I5" s="83" t="s">
        <v>9</v>
      </c>
    </row>
    <row r="6" spans="2:11" x14ac:dyDescent="0.25">
      <c r="B6" s="348" t="s">
        <v>193</v>
      </c>
      <c r="C6" s="204" t="s">
        <v>137</v>
      </c>
      <c r="D6" s="38">
        <f>'Resumen Periodo'!E6+'Resumen Periodo'!E7</f>
        <v>6437</v>
      </c>
      <c r="E6" s="306">
        <f>'Resumen Periodo'!F6+'Resumen Periodo'!F7</f>
        <v>-1265.0999999999999</v>
      </c>
      <c r="F6" s="26">
        <f>D6+E6</f>
        <v>5171.8999999999996</v>
      </c>
      <c r="G6" s="287">
        <f>'Resumen Periodo'!H6+'Resumen Periodo'!H7</f>
        <v>4963.0360000000001</v>
      </c>
      <c r="H6" s="26">
        <f>F6-G6</f>
        <v>208.86399999999958</v>
      </c>
      <c r="I6" s="34">
        <f>G6/F6</f>
        <v>0.95961561515110505</v>
      </c>
    </row>
    <row r="7" spans="2:11" x14ac:dyDescent="0.25">
      <c r="B7" s="349"/>
      <c r="C7" s="205" t="s">
        <v>138</v>
      </c>
      <c r="D7" s="39">
        <f>'Resumen Periodo'!E8+'Resumen Periodo'!E9</f>
        <v>1149.2715183666999</v>
      </c>
      <c r="E7" s="27">
        <f>'Resumen Periodo'!F8+'Resumen Periodo'!F9</f>
        <v>-1037.5700000000002</v>
      </c>
      <c r="F7" s="27">
        <f>D7+E7</f>
        <v>111.7015183666997</v>
      </c>
      <c r="G7" s="301">
        <f>'Resumen Periodo'!H8+'Resumen Periodo'!H9</f>
        <v>102.506</v>
      </c>
      <c r="H7" s="28">
        <f>F7-G7</f>
        <v>9.1955183666997016</v>
      </c>
      <c r="I7" s="35">
        <f t="shared" ref="I7:I13" si="0">G7/F7</f>
        <v>0.91767776749003394</v>
      </c>
    </row>
    <row r="8" spans="2:11" x14ac:dyDescent="0.25">
      <c r="B8" s="349"/>
      <c r="C8" s="205" t="s">
        <v>139</v>
      </c>
      <c r="D8" s="39">
        <f>'Resumen Periodo'!E10+'Resumen Periodo'!E11</f>
        <v>899.64627661269992</v>
      </c>
      <c r="E8" s="27">
        <f>'Resumen Periodo'!F10+'Resumen Periodo'!F11</f>
        <v>-831.02600000000018</v>
      </c>
      <c r="F8" s="28">
        <f t="shared" ref="F8:F13" si="1">D8+E8</f>
        <v>68.62027661269974</v>
      </c>
      <c r="G8" s="301">
        <f>'Resumen Periodo'!H10+'Resumen Periodo'!H11</f>
        <v>56.856999999999992</v>
      </c>
      <c r="H8" s="28">
        <f t="shared" ref="H8:H13" si="2">F8-G8</f>
        <v>11.763276612699748</v>
      </c>
      <c r="I8" s="35">
        <f>G8/F8</f>
        <v>0.82857433409817116</v>
      </c>
    </row>
    <row r="9" spans="2:11" x14ac:dyDescent="0.25">
      <c r="B9" s="349"/>
      <c r="C9" s="205" t="s">
        <v>140</v>
      </c>
      <c r="D9" s="39">
        <f>'Resumen Periodo'!E12+'Resumen Periodo'!E13</f>
        <v>937.58201553569995</v>
      </c>
      <c r="E9" s="27">
        <f>'Resumen Periodo'!F12+'Resumen Periodo'!F13</f>
        <v>-272.53200000000004</v>
      </c>
      <c r="F9" s="28">
        <f t="shared" si="1"/>
        <v>665.05001553569991</v>
      </c>
      <c r="G9" s="301">
        <f>'Resumen Periodo'!H12+'Resumen Periodo'!H13</f>
        <v>631.17499999999995</v>
      </c>
      <c r="H9" s="28">
        <f t="shared" si="2"/>
        <v>33.875015535699958</v>
      </c>
      <c r="I9" s="35">
        <f t="shared" si="0"/>
        <v>0.94906395798154586</v>
      </c>
    </row>
    <row r="10" spans="2:11" x14ac:dyDescent="0.25">
      <c r="B10" s="349"/>
      <c r="C10" s="205" t="s">
        <v>141</v>
      </c>
      <c r="D10" s="39">
        <f>'Resumen Periodo'!E14+'Resumen Periodo'!E15</f>
        <v>936.49920232069996</v>
      </c>
      <c r="E10" s="27">
        <f>'Resumen Periodo'!F14+'Resumen Periodo'!F15</f>
        <v>-733.16500000000008</v>
      </c>
      <c r="F10" s="28">
        <f t="shared" si="1"/>
        <v>203.33420232069989</v>
      </c>
      <c r="G10" s="301">
        <f>'Resumen Periodo'!H14+'Resumen Periodo'!H15</f>
        <v>198.53</v>
      </c>
      <c r="H10" s="28">
        <f t="shared" si="2"/>
        <v>4.8042023206998863</v>
      </c>
      <c r="I10" s="35">
        <f t="shared" si="0"/>
        <v>0.97637287644740323</v>
      </c>
    </row>
    <row r="11" spans="2:11" ht="15.75" thickBot="1" x14ac:dyDescent="0.3">
      <c r="B11" s="349"/>
      <c r="C11" s="206" t="s">
        <v>142</v>
      </c>
      <c r="D11" s="40">
        <f>'Resumen Periodo'!E16+'Resumen Periodo'!E17</f>
        <v>1785</v>
      </c>
      <c r="E11" s="29">
        <f>'Resumen Periodo'!F16+'Resumen Periodo'!F17</f>
        <v>-1740.3600000000001</v>
      </c>
      <c r="F11" s="30">
        <f t="shared" si="1"/>
        <v>44.639999999999873</v>
      </c>
      <c r="G11" s="302">
        <f>'Resumen Periodo'!H16+'Resumen Periodo'!H17</f>
        <v>28.17</v>
      </c>
      <c r="H11" s="30">
        <f t="shared" si="2"/>
        <v>16.469999999999871</v>
      </c>
      <c r="I11" s="36">
        <f t="shared" si="0"/>
        <v>0.63104838709677602</v>
      </c>
    </row>
    <row r="12" spans="2:11" ht="15" customHeight="1" x14ac:dyDescent="0.25">
      <c r="B12" s="348" t="s">
        <v>192</v>
      </c>
      <c r="C12" s="204" t="s">
        <v>280</v>
      </c>
      <c r="D12" s="41">
        <f>'Resumen Periodo'!E18+'Resumen Periodo'!E19</f>
        <v>4948</v>
      </c>
      <c r="E12" s="31">
        <f>'Resumen Periodo'!F18+'Resumen Periodo'!F19</f>
        <v>8028.6790000000001</v>
      </c>
      <c r="F12" s="26">
        <f t="shared" si="1"/>
        <v>12976.679</v>
      </c>
      <c r="G12" s="268">
        <f>'Resumen Periodo'!H18+'Resumen Periodo'!H19</f>
        <v>12806.317999999999</v>
      </c>
      <c r="H12" s="314">
        <f t="shared" si="2"/>
        <v>170.36100000000079</v>
      </c>
      <c r="I12" s="315">
        <f t="shared" si="0"/>
        <v>0.98687175663357318</v>
      </c>
    </row>
    <row r="13" spans="2:11" ht="15" customHeight="1" thickBot="1" x14ac:dyDescent="0.3">
      <c r="B13" s="350"/>
      <c r="C13" s="207" t="s">
        <v>204</v>
      </c>
      <c r="D13" s="42">
        <f>'Resumen Periodo'!E20+'Resumen Periodo'!E21</f>
        <v>3162.9989999999998</v>
      </c>
      <c r="E13" s="32">
        <f>'Resumen Periodo'!F20+'Resumen Periodo'!F21</f>
        <v>-2151.9929999999999</v>
      </c>
      <c r="F13" s="33">
        <f t="shared" si="1"/>
        <v>1011.0059999999999</v>
      </c>
      <c r="G13" s="313">
        <f>'Resumen Periodo'!H20+'Resumen Periodo'!H21</f>
        <v>977.00399999999991</v>
      </c>
      <c r="H13" s="33">
        <f t="shared" si="2"/>
        <v>34.001999999999953</v>
      </c>
      <c r="I13" s="37">
        <f t="shared" si="0"/>
        <v>0.96636815211779159</v>
      </c>
    </row>
    <row r="14" spans="2:11" hidden="1" x14ac:dyDescent="0.25">
      <c r="I14" s="201">
        <v>1</v>
      </c>
    </row>
  </sheetData>
  <mergeCells count="4">
    <mergeCell ref="B6:B11"/>
    <mergeCell ref="B12:B13"/>
    <mergeCell ref="B3:I3"/>
    <mergeCell ref="B2:I2"/>
  </mergeCells>
  <conditionalFormatting sqref="I6:I13">
    <cfRule type="dataBar" priority="6">
      <dataBar>
        <cfvo type="min"/>
        <cfvo type="max"/>
        <color rgb="FF63C384"/>
      </dataBar>
    </cfRule>
  </conditionalFormatting>
  <conditionalFormatting sqref="I12">
    <cfRule type="dataBar" priority="4">
      <dataBar>
        <cfvo type="min"/>
        <cfvo type="max"/>
        <color rgb="FF63C384"/>
      </dataBar>
    </cfRule>
  </conditionalFormatting>
  <conditionalFormatting sqref="I13">
    <cfRule type="dataBar" priority="3">
      <dataBar>
        <cfvo type="min"/>
        <cfvo type="max"/>
        <color rgb="FF63C384"/>
      </dataBar>
    </cfRule>
  </conditionalFormatting>
  <conditionalFormatting sqref="I6:I1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{6BD8BB22-A467-4C17-A6B7-8742C07D3B02}</x14:id>
        </ext>
      </extLst>
    </cfRule>
  </conditionalFormatting>
  <conditionalFormatting sqref="I6:I14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{B6C6EC95-B31F-46E9-92CD-AC00B3D207EB}</x14:id>
        </ext>
      </extLst>
    </cfRule>
  </conditionalFormatting>
  <pageMargins left="0.7" right="0.7" top="0.75" bottom="0.75" header="0.3" footer="0.3"/>
  <pageSetup paperSize="17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D8BB22-A467-4C17-A6B7-8742C07D3B0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I6:I13</xm:sqref>
        </x14:conditionalFormatting>
        <x14:conditionalFormatting xmlns:xm="http://schemas.microsoft.com/office/excel/2006/main">
          <x14:cfRule type="dataBar" id="{B6C6EC95-B31F-46E9-92CD-AC00B3D207E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I6:I14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22"/>
  <sheetViews>
    <sheetView showGridLines="0" zoomScaleNormal="100" workbookViewId="0">
      <selection activeCell="K16" sqref="K16"/>
    </sheetView>
  </sheetViews>
  <sheetFormatPr baseColWidth="10" defaultRowHeight="15" x14ac:dyDescent="0.25"/>
  <cols>
    <col min="1" max="1" width="40.42578125" style="49" customWidth="1"/>
    <col min="2" max="2" width="9.42578125" style="49" bestFit="1" customWidth="1"/>
    <col min="3" max="3" width="21.42578125" style="49" bestFit="1" customWidth="1"/>
    <col min="4" max="5" width="11.42578125" style="49"/>
    <col min="6" max="6" width="13.5703125" style="49" customWidth="1"/>
    <col min="7" max="16384" width="11.42578125" style="49"/>
  </cols>
  <sheetData>
    <row r="1" spans="1:15" ht="15.75" thickBot="1" x14ac:dyDescent="0.3">
      <c r="A1" s="46"/>
      <c r="B1" s="46"/>
      <c r="C1" s="46"/>
      <c r="D1" s="46"/>
      <c r="E1" s="47"/>
      <c r="F1" s="48"/>
      <c r="G1" s="46"/>
      <c r="H1" s="46"/>
      <c r="I1" s="46"/>
      <c r="J1" s="46"/>
      <c r="K1" s="46"/>
      <c r="L1" s="46"/>
      <c r="M1" s="46"/>
      <c r="N1" s="46"/>
      <c r="O1" s="46"/>
    </row>
    <row r="2" spans="1:15" ht="15.75" customHeight="1" x14ac:dyDescent="0.25">
      <c r="A2" s="46"/>
      <c r="B2" s="354" t="s">
        <v>281</v>
      </c>
      <c r="C2" s="355"/>
      <c r="D2" s="355"/>
      <c r="E2" s="355"/>
      <c r="F2" s="355"/>
      <c r="G2" s="355"/>
      <c r="H2" s="355"/>
      <c r="I2" s="355"/>
      <c r="J2" s="356"/>
      <c r="K2" s="46"/>
      <c r="L2" s="46"/>
      <c r="M2" s="46"/>
      <c r="N2" s="46"/>
      <c r="O2" s="46"/>
    </row>
    <row r="3" spans="1:15" ht="16.5" thickBot="1" x14ac:dyDescent="0.3">
      <c r="A3" s="46"/>
      <c r="B3" s="351">
        <v>43465</v>
      </c>
      <c r="C3" s="352"/>
      <c r="D3" s="352"/>
      <c r="E3" s="352"/>
      <c r="F3" s="352"/>
      <c r="G3" s="352"/>
      <c r="H3" s="352"/>
      <c r="I3" s="352"/>
      <c r="J3" s="353"/>
      <c r="K3" s="46"/>
      <c r="L3" s="46"/>
      <c r="M3" s="46"/>
      <c r="N3" s="46"/>
      <c r="O3" s="46"/>
    </row>
    <row r="4" spans="1:15" ht="15.75" thickBot="1" x14ac:dyDescent="0.3">
      <c r="A4" s="46"/>
      <c r="B4" s="46"/>
      <c r="C4" s="46"/>
      <c r="D4" s="46"/>
      <c r="E4" s="47"/>
      <c r="F4" s="48"/>
      <c r="G4" s="46"/>
      <c r="H4" s="46"/>
      <c r="I4" s="46"/>
      <c r="J4" s="46"/>
      <c r="K4" s="46"/>
      <c r="L4" s="46"/>
      <c r="M4" s="46"/>
      <c r="N4" s="46"/>
      <c r="O4" s="46"/>
    </row>
    <row r="5" spans="1:15" ht="32.25" thickBot="1" x14ac:dyDescent="0.3">
      <c r="A5" s="46"/>
      <c r="B5" s="60" t="s">
        <v>202</v>
      </c>
      <c r="C5" s="61" t="s">
        <v>1</v>
      </c>
      <c r="D5" s="61" t="s">
        <v>3</v>
      </c>
      <c r="E5" s="203" t="s">
        <v>4</v>
      </c>
      <c r="F5" s="62" t="s">
        <v>5</v>
      </c>
      <c r="G5" s="61" t="s">
        <v>6</v>
      </c>
      <c r="H5" s="61" t="s">
        <v>7</v>
      </c>
      <c r="I5" s="61" t="s">
        <v>8</v>
      </c>
      <c r="J5" s="61" t="s">
        <v>9</v>
      </c>
      <c r="K5" s="46"/>
      <c r="L5" s="46"/>
      <c r="M5" s="46"/>
      <c r="N5" s="46"/>
    </row>
    <row r="6" spans="1:15" x14ac:dyDescent="0.25">
      <c r="A6" s="46"/>
      <c r="B6" s="348" t="s">
        <v>193</v>
      </c>
      <c r="C6" s="359" t="s">
        <v>137</v>
      </c>
      <c r="D6" s="225" t="s">
        <v>13</v>
      </c>
      <c r="E6" s="238">
        <f>'Merluza sur Artesanal'!E32</f>
        <v>4826.3760000000002</v>
      </c>
      <c r="F6" s="238">
        <f>'Merluza sur Artesanal'!F32</f>
        <v>-979</v>
      </c>
      <c r="G6" s="238">
        <f>E6+F6</f>
        <v>3847.3760000000002</v>
      </c>
      <c r="H6" s="238">
        <f>'Merluza sur Artesanal'!H32</f>
        <v>3303.1970000000001</v>
      </c>
      <c r="I6" s="238">
        <f t="shared" ref="I6:I17" si="0">G6-H6</f>
        <v>544.17900000000009</v>
      </c>
      <c r="J6" s="34">
        <f t="shared" ref="J6:J17" si="1">H6/G6</f>
        <v>0.85855840448139198</v>
      </c>
      <c r="K6" s="46"/>
      <c r="L6" s="46"/>
      <c r="M6" s="46"/>
      <c r="N6" s="46"/>
    </row>
    <row r="7" spans="1:15" x14ac:dyDescent="0.25">
      <c r="A7" s="46"/>
      <c r="B7" s="349"/>
      <c r="C7" s="360"/>
      <c r="D7" s="226" t="s">
        <v>14</v>
      </c>
      <c r="E7" s="58">
        <f>'Merluza sur Artesanal'!E33</f>
        <v>1610.624</v>
      </c>
      <c r="F7" s="58">
        <f>'Merluza sur Artesanal'!F33</f>
        <v>-286.10000000000002</v>
      </c>
      <c r="G7" s="58">
        <f>E7+F7+I6</f>
        <v>1868.703</v>
      </c>
      <c r="H7" s="2">
        <f>'Merluza sur Artesanal'!H33</f>
        <v>1659.8389999999999</v>
      </c>
      <c r="I7" s="2">
        <f t="shared" si="0"/>
        <v>208.86400000000003</v>
      </c>
      <c r="J7" s="35">
        <f>H7/G7</f>
        <v>0.88823049997779202</v>
      </c>
      <c r="K7" s="46"/>
      <c r="L7" s="46"/>
      <c r="M7" s="46"/>
      <c r="N7" s="46"/>
    </row>
    <row r="8" spans="1:15" x14ac:dyDescent="0.25">
      <c r="A8" s="46"/>
      <c r="B8" s="349"/>
      <c r="C8" s="361" t="s">
        <v>138</v>
      </c>
      <c r="D8" s="227" t="s">
        <v>13</v>
      </c>
      <c r="E8" s="23">
        <f>'Merluza sur Artesanal'!G104</f>
        <v>781.74476416589994</v>
      </c>
      <c r="F8" s="23">
        <f>'Merluza sur Artesanal'!H104</f>
        <v>-840.31200000000013</v>
      </c>
      <c r="G8" s="58">
        <f>E8+F8</f>
        <v>-58.567235834100188</v>
      </c>
      <c r="H8" s="58">
        <f>'Merluza sur Artesanal'!J104</f>
        <v>47.298999999999999</v>
      </c>
      <c r="I8" s="58">
        <f>G8-H8</f>
        <v>-105.86623583410019</v>
      </c>
      <c r="J8" s="43">
        <f t="shared" si="1"/>
        <v>-0.80760171325109098</v>
      </c>
      <c r="K8" s="46"/>
      <c r="L8" s="46"/>
      <c r="M8" s="46"/>
      <c r="N8" s="46"/>
    </row>
    <row r="9" spans="1:15" x14ac:dyDescent="0.25">
      <c r="A9" s="46"/>
      <c r="B9" s="349"/>
      <c r="C9" s="360"/>
      <c r="D9" s="226" t="s">
        <v>14</v>
      </c>
      <c r="E9" s="23">
        <f>'Merluza sur Artesanal'!G105</f>
        <v>367.52675420079993</v>
      </c>
      <c r="F9" s="23">
        <f>'Merluza sur Artesanal'!H105</f>
        <v>-197.25799999999998</v>
      </c>
      <c r="G9" s="2">
        <f>E9+I8+F9</f>
        <v>64.40251836669978</v>
      </c>
      <c r="H9" s="58">
        <f>'Merluza sur Artesanal'!J105</f>
        <v>55.206999999999994</v>
      </c>
      <c r="I9" s="2">
        <f t="shared" si="0"/>
        <v>9.1955183666997868</v>
      </c>
      <c r="J9" s="35">
        <f>H9/G9</f>
        <v>0.85721803122136198</v>
      </c>
      <c r="K9" s="46"/>
      <c r="L9" s="46"/>
      <c r="M9" s="46"/>
      <c r="N9" s="46"/>
    </row>
    <row r="10" spans="1:15" x14ac:dyDescent="0.25">
      <c r="A10" s="46"/>
      <c r="B10" s="349"/>
      <c r="C10" s="360" t="s">
        <v>139</v>
      </c>
      <c r="D10" s="226" t="s">
        <v>13</v>
      </c>
      <c r="E10" s="70">
        <f>'Merluza sur Artesanal'!Z73</f>
        <v>607.39708183589994</v>
      </c>
      <c r="F10" s="70">
        <f>'Merluza sur Artesanal'!AA73</f>
        <v>-554.32100000000014</v>
      </c>
      <c r="G10" s="70">
        <f>'Merluza sur Artesanal'!AB73</f>
        <v>53.076081835899991</v>
      </c>
      <c r="H10" s="70">
        <f>'Merluza sur Artesanal'!AC73</f>
        <v>10.978999999999999</v>
      </c>
      <c r="I10" s="2">
        <f t="shared" si="0"/>
        <v>42.097081835899992</v>
      </c>
      <c r="J10" s="35">
        <f t="shared" si="1"/>
        <v>0.20685400316369892</v>
      </c>
      <c r="K10" s="46"/>
      <c r="L10" s="46"/>
      <c r="M10" s="46"/>
      <c r="N10" s="46"/>
    </row>
    <row r="11" spans="1:15" x14ac:dyDescent="0.25">
      <c r="A11" s="46"/>
      <c r="B11" s="349"/>
      <c r="C11" s="360"/>
      <c r="D11" s="226" t="s">
        <v>14</v>
      </c>
      <c r="E11" s="70">
        <f>'Merluza sur Artesanal'!Z74</f>
        <v>292.24919477679998</v>
      </c>
      <c r="F11" s="70">
        <f>'Merluza sur Artesanal'!AA74</f>
        <v>-276.70500000000004</v>
      </c>
      <c r="G11" s="70">
        <f>'Merluza sur Artesanal'!AB74</f>
        <v>57.641276612699983</v>
      </c>
      <c r="H11" s="70">
        <f>'Merluza sur Artesanal'!AC74</f>
        <v>45.877999999999993</v>
      </c>
      <c r="I11" s="2">
        <f t="shared" si="0"/>
        <v>11.76327661269999</v>
      </c>
      <c r="J11" s="35">
        <f>H11/G11</f>
        <v>0.79592269109965874</v>
      </c>
      <c r="K11" s="46"/>
      <c r="L11" s="46"/>
      <c r="M11" s="46"/>
      <c r="N11" s="46"/>
    </row>
    <row r="12" spans="1:15" x14ac:dyDescent="0.25">
      <c r="A12" s="46"/>
      <c r="B12" s="349"/>
      <c r="C12" s="360" t="s">
        <v>140</v>
      </c>
      <c r="D12" s="226" t="s">
        <v>13</v>
      </c>
      <c r="E12" s="70">
        <f>'Merluza sur Artesanal'!AR71</f>
        <v>663.31157932689996</v>
      </c>
      <c r="F12" s="70">
        <f>'Merluza sur Artesanal'!AS71</f>
        <v>-204.03800000000001</v>
      </c>
      <c r="G12" s="70">
        <f>'Merluza sur Artesanal'!AT71</f>
        <v>459.27357932689995</v>
      </c>
      <c r="H12" s="70">
        <f>'Merluza sur Artesanal'!AU71</f>
        <v>275.30599999999998</v>
      </c>
      <c r="I12" s="2">
        <f t="shared" si="0"/>
        <v>183.96757932689997</v>
      </c>
      <c r="J12" s="35">
        <f t="shared" si="1"/>
        <v>0.59943792195379864</v>
      </c>
      <c r="K12" s="46"/>
      <c r="L12" s="46"/>
      <c r="M12" s="46"/>
      <c r="N12" s="46"/>
    </row>
    <row r="13" spans="1:15" x14ac:dyDescent="0.25">
      <c r="A13" s="46"/>
      <c r="B13" s="349"/>
      <c r="C13" s="360"/>
      <c r="D13" s="226" t="s">
        <v>14</v>
      </c>
      <c r="E13" s="70">
        <f>'Merluza sur Artesanal'!AR72</f>
        <v>274.27043620879999</v>
      </c>
      <c r="F13" s="70">
        <f>'Merluza sur Artesanal'!AS72</f>
        <v>-68.494</v>
      </c>
      <c r="G13" s="70">
        <f>'Merluza sur Artesanal'!AT72</f>
        <v>389.74401553569999</v>
      </c>
      <c r="H13" s="70">
        <f>'Merluza sur Artesanal'!AU72</f>
        <v>355.86899999999997</v>
      </c>
      <c r="I13" s="2">
        <f t="shared" si="0"/>
        <v>33.875015535700015</v>
      </c>
      <c r="J13" s="35">
        <f>H13/G13</f>
        <v>0.91308393667279519</v>
      </c>
      <c r="K13" s="46"/>
      <c r="L13" s="46"/>
      <c r="M13" s="46"/>
      <c r="N13" s="46"/>
    </row>
    <row r="14" spans="1:15" x14ac:dyDescent="0.25">
      <c r="A14" s="46"/>
      <c r="B14" s="349"/>
      <c r="C14" s="362" t="s">
        <v>141</v>
      </c>
      <c r="D14" s="226" t="s">
        <v>13</v>
      </c>
      <c r="E14" s="70">
        <f>'Merluza sur Artesanal'!BK71</f>
        <v>656.86051567189998</v>
      </c>
      <c r="F14" s="70">
        <f>'Merluza sur Artesanal'!BL71</f>
        <v>-525.64200000000005</v>
      </c>
      <c r="G14" s="70">
        <f>'Merluza sur Artesanal'!BM71</f>
        <v>131.21851567189998</v>
      </c>
      <c r="H14" s="70">
        <f>'Merluza sur Artesanal'!BN71</f>
        <v>95.275999999999996</v>
      </c>
      <c r="I14" s="2">
        <f t="shared" si="0"/>
        <v>35.942515671899983</v>
      </c>
      <c r="J14" s="35">
        <f>H14/G14</f>
        <v>0.72608655502725705</v>
      </c>
      <c r="K14" s="46"/>
      <c r="L14" s="46"/>
      <c r="M14" s="46"/>
      <c r="N14" s="46"/>
    </row>
    <row r="15" spans="1:15" x14ac:dyDescent="0.25">
      <c r="A15" s="46"/>
      <c r="B15" s="349"/>
      <c r="C15" s="362"/>
      <c r="D15" s="226" t="s">
        <v>14</v>
      </c>
      <c r="E15" s="70">
        <f>'Merluza sur Artesanal'!BK72</f>
        <v>279.63868664879999</v>
      </c>
      <c r="F15" s="70">
        <f>'Merluza sur Artesanal'!BL72</f>
        <v>-207.523</v>
      </c>
      <c r="G15" s="70">
        <f>'Merluza sur Artesanal'!BM72</f>
        <v>108.05820232069998</v>
      </c>
      <c r="H15" s="70">
        <f>'Merluza sur Artesanal'!BN72</f>
        <v>103.254</v>
      </c>
      <c r="I15" s="2">
        <f t="shared" si="0"/>
        <v>4.8042023206999716</v>
      </c>
      <c r="J15" s="35">
        <f>H15/G15</f>
        <v>0.95554060480812142</v>
      </c>
      <c r="K15" s="46"/>
      <c r="L15" s="46"/>
      <c r="M15" s="46"/>
      <c r="N15" s="46"/>
    </row>
    <row r="16" spans="1:15" x14ac:dyDescent="0.25">
      <c r="A16" s="46"/>
      <c r="B16" s="349"/>
      <c r="C16" s="363" t="s">
        <v>142</v>
      </c>
      <c r="D16" s="226" t="s">
        <v>13</v>
      </c>
      <c r="E16" s="70">
        <f>'Merluza sur Artesanal'!F108+'Merluza sur Artesanal'!F110</f>
        <v>1784.9829999999999</v>
      </c>
      <c r="F16" s="70">
        <f>'Merluza sur Artesanal'!G108+'Merluza sur Artesanal'!G110</f>
        <v>-1690.2280000000001</v>
      </c>
      <c r="G16" s="58">
        <f>E16+F16</f>
        <v>94.754999999999882</v>
      </c>
      <c r="H16" s="2">
        <f>'Merluza sur Artesanal'!I108+'Merluza sur Artesanal'!I110</f>
        <v>8.3529999999999998</v>
      </c>
      <c r="I16" s="2">
        <f t="shared" si="0"/>
        <v>86.401999999999887</v>
      </c>
      <c r="J16" s="35">
        <f>H16/G16</f>
        <v>8.8153659437496812E-2</v>
      </c>
      <c r="K16" s="46"/>
      <c r="L16" s="46"/>
      <c r="M16" s="46"/>
      <c r="N16" s="46"/>
    </row>
    <row r="17" spans="1:14" ht="15.75" thickBot="1" x14ac:dyDescent="0.3">
      <c r="A17" s="46"/>
      <c r="B17" s="350"/>
      <c r="C17" s="363"/>
      <c r="D17" s="228" t="s">
        <v>14</v>
      </c>
      <c r="E17" s="239">
        <f>'Merluza sur Artesanal'!F109+'Merluza sur Artesanal'!F111</f>
        <v>1.7000000000000001E-2</v>
      </c>
      <c r="F17" s="239">
        <f>'Merluza sur Artesanal'!G109+'Merluza sur Artesanal'!G111</f>
        <v>-50.131999999999998</v>
      </c>
      <c r="G17" s="240">
        <f>E17+I16+F17</f>
        <v>36.286999999999885</v>
      </c>
      <c r="H17" s="240">
        <f>'Merluza sur Artesanal'!I109+'Merluza sur Artesanal'!I111</f>
        <v>19.817</v>
      </c>
      <c r="I17" s="240">
        <f t="shared" si="0"/>
        <v>16.469999999999885</v>
      </c>
      <c r="J17" s="36">
        <f t="shared" si="1"/>
        <v>0.54611844462204273</v>
      </c>
      <c r="K17" s="46"/>
      <c r="L17" s="46"/>
      <c r="M17" s="46"/>
      <c r="N17" s="46"/>
    </row>
    <row r="18" spans="1:14" ht="16.5" customHeight="1" x14ac:dyDescent="0.25">
      <c r="B18" s="348" t="s">
        <v>192</v>
      </c>
      <c r="C18" s="357" t="s">
        <v>203</v>
      </c>
      <c r="D18" s="229" t="s">
        <v>144</v>
      </c>
      <c r="E18" s="82">
        <f>'Merluza sur Industrial'!W9</f>
        <v>1732.0010000000002</v>
      </c>
      <c r="F18" s="82">
        <f>'Merluza sur Industrial'!X9</f>
        <v>4914.2829999999994</v>
      </c>
      <c r="G18" s="82">
        <f>'Merluza sur Industrial'!Y9</f>
        <v>6646.2840000000006</v>
      </c>
      <c r="H18" s="82">
        <f>'Merluza sur Industrial'!Z9</f>
        <v>188.45400000000001</v>
      </c>
      <c r="I18" s="82">
        <f>G18-H18</f>
        <v>6457.8300000000008</v>
      </c>
      <c r="J18" s="44">
        <f t="shared" ref="J18:J19" si="2">H18/G18</f>
        <v>2.8354791940880045E-2</v>
      </c>
    </row>
    <row r="19" spans="1:14" ht="15.75" customHeight="1" thickBot="1" x14ac:dyDescent="0.3">
      <c r="B19" s="349"/>
      <c r="C19" s="358"/>
      <c r="D19" s="230" t="s">
        <v>153</v>
      </c>
      <c r="E19" s="78">
        <f>'Merluza sur Industrial'!W10</f>
        <v>3215.9989999999998</v>
      </c>
      <c r="F19" s="78">
        <f>'Merluza sur Industrial'!X10</f>
        <v>3114.3960000000011</v>
      </c>
      <c r="G19" s="78">
        <f>'Merluza sur Industrial'!Y10</f>
        <v>12788.224999999999</v>
      </c>
      <c r="H19" s="78">
        <f>'Merluza sur Industrial'!Z10</f>
        <v>12617.864</v>
      </c>
      <c r="I19" s="78">
        <f t="shared" ref="I19" si="3">G19-H19</f>
        <v>170.36099999999897</v>
      </c>
      <c r="J19" s="45">
        <f t="shared" si="2"/>
        <v>0.98667829194434731</v>
      </c>
    </row>
    <row r="20" spans="1:14" ht="15" customHeight="1" x14ac:dyDescent="0.25">
      <c r="B20" s="349"/>
      <c r="C20" s="357" t="s">
        <v>204</v>
      </c>
      <c r="D20" s="225" t="s">
        <v>144</v>
      </c>
      <c r="E20" s="82">
        <f>'Merluza sur Industrial'!W32</f>
        <v>1107</v>
      </c>
      <c r="F20" s="82">
        <f>'Merluza sur Industrial'!X32</f>
        <v>0</v>
      </c>
      <c r="G20" s="82">
        <f>'Merluza sur Industrial'!Y32</f>
        <v>1107</v>
      </c>
      <c r="H20" s="82">
        <f>'Merluza sur Industrial'!Z32</f>
        <v>0.86499999999999999</v>
      </c>
      <c r="I20" s="238">
        <f>G20-H20</f>
        <v>1106.135</v>
      </c>
      <c r="J20" s="34">
        <f t="shared" ref="J20:J21" si="4">H20/G20</f>
        <v>7.8139114724480574E-4</v>
      </c>
    </row>
    <row r="21" spans="1:14" ht="15.75" customHeight="1" thickBot="1" x14ac:dyDescent="0.3">
      <c r="B21" s="350"/>
      <c r="C21" s="358"/>
      <c r="D21" s="231" t="s">
        <v>153</v>
      </c>
      <c r="E21" s="78">
        <f>'Merluza sur Industrial'!W33</f>
        <v>2055.9989999999998</v>
      </c>
      <c r="F21" s="78">
        <f>'Merluza sur Industrial'!X33</f>
        <v>-2151.9929999999999</v>
      </c>
      <c r="G21" s="78">
        <f>'Merluza sur Industrial'!Y33</f>
        <v>1010.1409999999998</v>
      </c>
      <c r="H21" s="78">
        <f>'Merluza sur Industrial'!Z33</f>
        <v>976.1389999999999</v>
      </c>
      <c r="I21" s="59">
        <f t="shared" ref="I21" si="5">G21-H21</f>
        <v>34.001999999999953</v>
      </c>
      <c r="J21" s="37">
        <f t="shared" si="4"/>
        <v>0.96633935262502957</v>
      </c>
    </row>
    <row r="22" spans="1:14" hidden="1" x14ac:dyDescent="0.25">
      <c r="J22" s="200">
        <v>1</v>
      </c>
    </row>
  </sheetData>
  <mergeCells count="12">
    <mergeCell ref="B2:J2"/>
    <mergeCell ref="B3:J3"/>
    <mergeCell ref="C18:C19"/>
    <mergeCell ref="C20:C21"/>
    <mergeCell ref="B18:B21"/>
    <mergeCell ref="B6:B17"/>
    <mergeCell ref="C6:C7"/>
    <mergeCell ref="C8:C9"/>
    <mergeCell ref="C10:C11"/>
    <mergeCell ref="C12:C13"/>
    <mergeCell ref="C14:C15"/>
    <mergeCell ref="C16:C17"/>
  </mergeCells>
  <conditionalFormatting sqref="J6:J17">
    <cfRule type="dataBar" priority="5">
      <dataBar>
        <cfvo type="min"/>
        <cfvo type="max"/>
        <color rgb="FF63C384"/>
      </dataBar>
    </cfRule>
  </conditionalFormatting>
  <conditionalFormatting sqref="J18:J19">
    <cfRule type="dataBar" priority="4">
      <dataBar>
        <cfvo type="min"/>
        <cfvo type="max"/>
        <color rgb="FF63C384"/>
      </dataBar>
    </cfRule>
  </conditionalFormatting>
  <conditionalFormatting sqref="J20:J21">
    <cfRule type="dataBar" priority="3">
      <dataBar>
        <cfvo type="min"/>
        <cfvo type="max"/>
        <color rgb="FF63C384"/>
      </dataBar>
    </cfRule>
  </conditionalFormatting>
  <conditionalFormatting sqref="J6:J2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{73812EDF-D97C-4978-85A1-0D70CA02407F}</x14:id>
        </ext>
      </extLst>
    </cfRule>
  </conditionalFormatting>
  <pageMargins left="0.7" right="0.7" top="0.75" bottom="0.75" header="0.3" footer="0.3"/>
  <pageSetup paperSize="17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812EDF-D97C-4978-85A1-0D70CA02407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J6:J21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B1:BZ131"/>
  <sheetViews>
    <sheetView zoomScale="80" zoomScaleNormal="80" workbookViewId="0">
      <selection activeCell="C5" sqref="C5:C6"/>
    </sheetView>
  </sheetViews>
  <sheetFormatPr baseColWidth="10" defaultColWidth="11.42578125" defaultRowHeight="15" x14ac:dyDescent="0.25"/>
  <cols>
    <col min="1" max="1" width="9.140625" style="50" customWidth="1"/>
    <col min="2" max="2" width="14.5703125" style="50" customWidth="1"/>
    <col min="3" max="3" width="29.140625" style="50" bestFit="1" customWidth="1"/>
    <col min="4" max="4" width="47.5703125" style="50" customWidth="1"/>
    <col min="5" max="5" width="23" style="50" bestFit="1" customWidth="1"/>
    <col min="6" max="6" width="17.5703125" style="124" customWidth="1"/>
    <col min="7" max="7" width="17" style="50" customWidth="1"/>
    <col min="8" max="8" width="18.28515625" style="50" bestFit="1" customWidth="1"/>
    <col min="9" max="9" width="15.42578125" style="50" customWidth="1"/>
    <col min="10" max="10" width="15" style="50" customWidth="1"/>
    <col min="11" max="11" width="16" style="50" bestFit="1" customWidth="1"/>
    <col min="12" max="12" width="38.28515625" style="50" bestFit="1" customWidth="1"/>
    <col min="13" max="13" width="14" style="124" bestFit="1" customWidth="1"/>
    <col min="14" max="14" width="16" style="50" bestFit="1" customWidth="1"/>
    <col min="15" max="15" width="13.28515625" style="50" customWidth="1"/>
    <col min="16" max="16" width="39.140625" style="50" customWidth="1"/>
    <col min="17" max="17" width="15" style="50" bestFit="1" customWidth="1"/>
    <col min="18" max="18" width="16.5703125" style="50" customWidth="1"/>
    <col min="19" max="19" width="16" style="50" customWidth="1"/>
    <col min="20" max="20" width="29.42578125" style="50" customWidth="1"/>
    <col min="21" max="21" width="25.7109375" style="50" customWidth="1"/>
    <col min="22" max="22" width="18.42578125" style="50" customWidth="1"/>
    <col min="23" max="23" width="40" style="50" customWidth="1"/>
    <col min="24" max="24" width="16" style="50" bestFit="1" customWidth="1"/>
    <col min="25" max="25" width="12.28515625" style="50" bestFit="1" customWidth="1"/>
    <col min="26" max="26" width="17.28515625" style="50" bestFit="1" customWidth="1"/>
    <col min="27" max="27" width="23" style="50" bestFit="1" customWidth="1"/>
    <col min="28" max="28" width="18.28515625" style="50" bestFit="1" customWidth="1"/>
    <col min="29" max="29" width="15" style="50" customWidth="1"/>
    <col min="30" max="30" width="12.5703125" style="50" bestFit="1" customWidth="1"/>
    <col min="31" max="31" width="14.5703125" style="50" bestFit="1" customWidth="1"/>
    <col min="32" max="32" width="16" style="50" bestFit="1" customWidth="1"/>
    <col min="33" max="33" width="21" style="50" bestFit="1" customWidth="1"/>
    <col min="34" max="34" width="23" style="50" bestFit="1" customWidth="1"/>
    <col min="35" max="35" width="18.28515625" style="50" bestFit="1" customWidth="1"/>
    <col min="36" max="36" width="21.5703125" style="50" bestFit="1" customWidth="1"/>
    <col min="37" max="37" width="12.5703125" style="50" bestFit="1" customWidth="1"/>
    <col min="38" max="38" width="9.7109375" style="50" bestFit="1" customWidth="1"/>
    <col min="39" max="39" width="14.140625" style="50" bestFit="1" customWidth="1"/>
    <col min="40" max="40" width="10" style="50" bestFit="1" customWidth="1"/>
    <col min="41" max="41" width="15.5703125" style="50" customWidth="1"/>
    <col min="42" max="42" width="44.42578125" style="50" customWidth="1"/>
    <col min="43" max="43" width="14.5703125" style="50" bestFit="1" customWidth="1"/>
    <col min="44" max="44" width="12.28515625" bestFit="1" customWidth="1"/>
    <col min="45" max="45" width="21.85546875" style="50" customWidth="1"/>
    <col min="46" max="46" width="23" style="50" bestFit="1" customWidth="1"/>
    <col min="47" max="47" width="18.28515625" style="50" bestFit="1" customWidth="1"/>
    <col min="48" max="48" width="14.5703125" style="50" customWidth="1"/>
    <col min="49" max="49" width="17.42578125" style="50" customWidth="1"/>
    <col min="50" max="50" width="9.28515625" style="50" bestFit="1" customWidth="1"/>
    <col min="51" max="51" width="14.5703125" style="50" bestFit="1" customWidth="1"/>
    <col min="52" max="52" width="21" style="50" bestFit="1" customWidth="1"/>
    <col min="53" max="53" width="23" style="50" bestFit="1" customWidth="1"/>
    <col min="54" max="54" width="18.28515625" style="50" bestFit="1" customWidth="1"/>
    <col min="55" max="55" width="21.5703125" style="50" bestFit="1" customWidth="1"/>
    <col min="56" max="56" width="12.5703125" style="50" bestFit="1" customWidth="1"/>
    <col min="57" max="57" width="9.7109375" style="50" bestFit="1" customWidth="1"/>
    <col min="58" max="58" width="14.140625" style="50" bestFit="1" customWidth="1"/>
    <col min="59" max="59" width="6.42578125" style="50" hidden="1" customWidth="1"/>
    <col min="60" max="60" width="24.7109375" style="50" customWidth="1"/>
    <col min="61" max="61" width="16.7109375" style="50" customWidth="1"/>
    <col min="62" max="62" width="42.42578125" style="50" bestFit="1" customWidth="1"/>
    <col min="63" max="63" width="18.28515625" style="50" customWidth="1"/>
    <col min="64" max="64" width="11.42578125" style="50"/>
    <col min="65" max="65" width="14.85546875" style="50" bestFit="1" customWidth="1"/>
    <col min="66" max="66" width="20.7109375" style="50" customWidth="1"/>
    <col min="67" max="67" width="26.85546875" style="50" customWidth="1"/>
    <col min="68" max="68" width="11.42578125" style="50"/>
    <col min="69" max="69" width="14" style="50" customWidth="1"/>
    <col min="70" max="70" width="11.42578125" style="50"/>
    <col min="71" max="71" width="11.7109375" style="50" customWidth="1"/>
    <col min="72" max="72" width="21" style="50" bestFit="1" customWidth="1"/>
    <col min="73" max="73" width="14.140625" style="50" bestFit="1" customWidth="1"/>
    <col min="74" max="74" width="18.28515625" style="50" bestFit="1" customWidth="1"/>
    <col min="75" max="75" width="12.7109375" style="50" bestFit="1" customWidth="1"/>
    <col min="76" max="76" width="12.5703125" style="50" bestFit="1" customWidth="1"/>
    <col min="77" max="77" width="9.7109375" style="50" bestFit="1" customWidth="1"/>
    <col min="78" max="78" width="14.140625" style="50" bestFit="1" customWidth="1"/>
    <col min="79" max="16384" width="11.42578125" style="50"/>
  </cols>
  <sheetData>
    <row r="1" spans="2:44" ht="15.75" thickBot="1" x14ac:dyDescent="0.3">
      <c r="H1" s="125"/>
      <c r="AR1" s="155"/>
    </row>
    <row r="2" spans="2:44" ht="27" customHeight="1" x14ac:dyDescent="0.25">
      <c r="B2" s="478" t="s">
        <v>314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80"/>
      <c r="AR2" s="155"/>
    </row>
    <row r="3" spans="2:44" ht="27" customHeight="1" thickBot="1" x14ac:dyDescent="0.3">
      <c r="B3" s="440">
        <v>43465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2"/>
      <c r="AR3" s="155"/>
    </row>
    <row r="4" spans="2:44" ht="20.100000000000001" customHeight="1" thickBot="1" x14ac:dyDescent="0.3">
      <c r="G4" s="46" t="s">
        <v>133</v>
      </c>
      <c r="H4" s="125"/>
      <c r="J4" s="126"/>
      <c r="AR4" s="155"/>
    </row>
    <row r="5" spans="2:44" x14ac:dyDescent="0.25">
      <c r="B5" s="499" t="s">
        <v>1</v>
      </c>
      <c r="C5" s="499" t="s">
        <v>2</v>
      </c>
      <c r="D5" s="511" t="s">
        <v>3</v>
      </c>
      <c r="E5" s="509" t="s">
        <v>4</v>
      </c>
      <c r="F5" s="505" t="s">
        <v>5</v>
      </c>
      <c r="G5" s="507" t="s">
        <v>6</v>
      </c>
      <c r="H5" s="505" t="s">
        <v>7</v>
      </c>
      <c r="I5" s="505" t="s">
        <v>8</v>
      </c>
      <c r="J5" s="503" t="s">
        <v>9</v>
      </c>
      <c r="K5" s="501" t="s">
        <v>10</v>
      </c>
      <c r="L5" s="481" t="s">
        <v>0</v>
      </c>
      <c r="M5" s="482"/>
      <c r="N5" s="482"/>
      <c r="O5" s="482"/>
      <c r="P5" s="482"/>
      <c r="Q5" s="483"/>
      <c r="AR5" s="155"/>
    </row>
    <row r="6" spans="2:44" ht="39" customHeight="1" thickBot="1" x14ac:dyDescent="0.3">
      <c r="B6" s="500"/>
      <c r="C6" s="500"/>
      <c r="D6" s="512"/>
      <c r="E6" s="510"/>
      <c r="F6" s="506"/>
      <c r="G6" s="508"/>
      <c r="H6" s="506"/>
      <c r="I6" s="506"/>
      <c r="J6" s="504"/>
      <c r="K6" s="502"/>
      <c r="L6" s="79" t="s">
        <v>4</v>
      </c>
      <c r="M6" s="55" t="s">
        <v>5</v>
      </c>
      <c r="N6" s="55" t="s">
        <v>6</v>
      </c>
      <c r="O6" s="55" t="s">
        <v>7</v>
      </c>
      <c r="P6" s="55" t="s">
        <v>8</v>
      </c>
      <c r="Q6" s="56" t="s">
        <v>9</v>
      </c>
      <c r="AR6" s="155"/>
    </row>
    <row r="7" spans="2:44" ht="15" customHeight="1" x14ac:dyDescent="0.25">
      <c r="B7" s="484" t="s">
        <v>11</v>
      </c>
      <c r="C7" s="486" t="s">
        <v>12</v>
      </c>
      <c r="D7" s="65" t="s">
        <v>13</v>
      </c>
      <c r="E7" s="72">
        <v>180.96100000000001</v>
      </c>
      <c r="F7" s="57">
        <f>-80</f>
        <v>-80</v>
      </c>
      <c r="G7" s="58">
        <f>E7+F7</f>
        <v>100.96100000000001</v>
      </c>
      <c r="H7" s="341">
        <v>100.49</v>
      </c>
      <c r="I7" s="57">
        <f>G7-H7</f>
        <v>0.47100000000001785</v>
      </c>
      <c r="J7" s="191">
        <f>(H7/G7)</f>
        <v>0.9953348322619624</v>
      </c>
      <c r="K7" s="263" t="s">
        <v>410</v>
      </c>
      <c r="L7" s="487">
        <f>E7+E8</f>
        <v>285.012</v>
      </c>
      <c r="M7" s="488">
        <f>F7+F8</f>
        <v>-80</v>
      </c>
      <c r="N7" s="488">
        <f>L7+M7</f>
        <v>205.012</v>
      </c>
      <c r="O7" s="489">
        <f>H7+H8</f>
        <v>201.69</v>
      </c>
      <c r="P7" s="489">
        <f>N7-O7</f>
        <v>3.3220000000000027</v>
      </c>
      <c r="Q7" s="490">
        <f>O7/N7</f>
        <v>0.98379607047392348</v>
      </c>
      <c r="AR7" s="155"/>
    </row>
    <row r="8" spans="2:44" ht="15.75" x14ac:dyDescent="0.25">
      <c r="B8" s="485"/>
      <c r="C8" s="470"/>
      <c r="D8" s="66" t="s">
        <v>14</v>
      </c>
      <c r="E8" s="73">
        <v>104.051</v>
      </c>
      <c r="F8" s="24"/>
      <c r="G8" s="2">
        <f>E8+F8+I7</f>
        <v>104.52200000000002</v>
      </c>
      <c r="H8" s="342">
        <v>101.2</v>
      </c>
      <c r="I8" s="24">
        <f t="shared" ref="I8:I30" si="0">G8-H8</f>
        <v>3.3220000000000169</v>
      </c>
      <c r="J8" s="192">
        <f>(H8/G8)</f>
        <v>0.96821721742790978</v>
      </c>
      <c r="K8" s="264" t="s">
        <v>410</v>
      </c>
      <c r="L8" s="472"/>
      <c r="M8" s="473"/>
      <c r="N8" s="473"/>
      <c r="O8" s="473"/>
      <c r="P8" s="473"/>
      <c r="Q8" s="460"/>
      <c r="AR8" s="155"/>
    </row>
    <row r="9" spans="2:44" ht="15.75" x14ac:dyDescent="0.25">
      <c r="B9" s="485"/>
      <c r="C9" s="470" t="s">
        <v>15</v>
      </c>
      <c r="D9" s="66" t="s">
        <v>13</v>
      </c>
      <c r="E9" s="73">
        <v>509.89800000000002</v>
      </c>
      <c r="F9" s="24">
        <f>-180-120</f>
        <v>-300</v>
      </c>
      <c r="G9" s="2">
        <f>E9+F9</f>
        <v>209.89800000000002</v>
      </c>
      <c r="H9" s="343">
        <v>116.34</v>
      </c>
      <c r="I9" s="24">
        <f t="shared" si="0"/>
        <v>93.558000000000021</v>
      </c>
      <c r="J9" s="192">
        <f t="shared" ref="J9:J30" si="1">(H9/G9)</f>
        <v>0.55426921647657423</v>
      </c>
      <c r="K9" s="265" t="s">
        <v>410</v>
      </c>
      <c r="L9" s="472">
        <f>E9+E10</f>
        <v>623.53700000000003</v>
      </c>
      <c r="M9" s="473">
        <f>F9+F10</f>
        <v>-377</v>
      </c>
      <c r="N9" s="473">
        <f>L9+M9</f>
        <v>246.53700000000003</v>
      </c>
      <c r="O9" s="474">
        <f>H9+H10</f>
        <v>227.53399999999999</v>
      </c>
      <c r="P9" s="474">
        <f>N9-O9</f>
        <v>19.003000000000043</v>
      </c>
      <c r="Q9" s="460">
        <f>O9/N9</f>
        <v>0.92292029188316549</v>
      </c>
      <c r="AR9" s="155"/>
    </row>
    <row r="10" spans="2:44" ht="15.75" x14ac:dyDescent="0.25">
      <c r="B10" s="485"/>
      <c r="C10" s="470"/>
      <c r="D10" s="66" t="s">
        <v>14</v>
      </c>
      <c r="E10" s="73">
        <v>113.639</v>
      </c>
      <c r="F10" s="24">
        <f>-77</f>
        <v>-77</v>
      </c>
      <c r="G10" s="2">
        <f>E10+F10+I9</f>
        <v>130.197</v>
      </c>
      <c r="H10" s="342">
        <v>111.194</v>
      </c>
      <c r="I10" s="24">
        <v>230.679</v>
      </c>
      <c r="J10" s="192">
        <f t="shared" si="1"/>
        <v>0.85404425601204326</v>
      </c>
      <c r="K10" s="264" t="s">
        <v>410</v>
      </c>
      <c r="L10" s="472"/>
      <c r="M10" s="473"/>
      <c r="N10" s="473"/>
      <c r="O10" s="473"/>
      <c r="P10" s="473"/>
      <c r="Q10" s="460"/>
      <c r="AR10" s="155"/>
    </row>
    <row r="11" spans="2:44" ht="15.75" x14ac:dyDescent="0.25">
      <c r="B11" s="485"/>
      <c r="C11" s="477" t="s">
        <v>16</v>
      </c>
      <c r="D11" s="66" t="s">
        <v>13</v>
      </c>
      <c r="E11" s="73">
        <f>153.234+44.055</f>
        <v>197.28900000000002</v>
      </c>
      <c r="F11" s="24"/>
      <c r="G11" s="2">
        <f>E11+F11</f>
        <v>197.28900000000002</v>
      </c>
      <c r="H11" s="342">
        <v>161.80600000000001</v>
      </c>
      <c r="I11" s="24">
        <f t="shared" si="0"/>
        <v>35.483000000000004</v>
      </c>
      <c r="J11" s="192">
        <f t="shared" si="1"/>
        <v>0.82014709385723483</v>
      </c>
      <c r="K11" s="265" t="s">
        <v>410</v>
      </c>
      <c r="L11" s="472">
        <f>E11+E12</f>
        <v>241.34300000000002</v>
      </c>
      <c r="M11" s="473">
        <f>F11+F12</f>
        <v>0</v>
      </c>
      <c r="N11" s="473">
        <f>L11+M11</f>
        <v>241.34300000000002</v>
      </c>
      <c r="O11" s="474">
        <f>H11+H12</f>
        <v>239.40800000000002</v>
      </c>
      <c r="P11" s="474">
        <f>N11-O11</f>
        <v>1.9350000000000023</v>
      </c>
      <c r="Q11" s="460">
        <f>O11/N11</f>
        <v>0.99198236534724438</v>
      </c>
      <c r="AR11" s="155"/>
    </row>
    <row r="12" spans="2:44" ht="15.75" x14ac:dyDescent="0.25">
      <c r="B12" s="485"/>
      <c r="C12" s="470"/>
      <c r="D12" s="66" t="s">
        <v>14</v>
      </c>
      <c r="E12" s="73">
        <f>88.109-44.055</f>
        <v>44.053999999999995</v>
      </c>
      <c r="F12" s="24"/>
      <c r="G12" s="2">
        <f>E12+F12+I11</f>
        <v>79.537000000000006</v>
      </c>
      <c r="H12" s="342">
        <v>77.602000000000004</v>
      </c>
      <c r="I12" s="24">
        <f t="shared" si="0"/>
        <v>1.9350000000000023</v>
      </c>
      <c r="J12" s="192">
        <f t="shared" si="1"/>
        <v>0.97567169996353897</v>
      </c>
      <c r="K12" s="264" t="s">
        <v>410</v>
      </c>
      <c r="L12" s="472"/>
      <c r="M12" s="473"/>
      <c r="N12" s="473"/>
      <c r="O12" s="473"/>
      <c r="P12" s="473"/>
      <c r="Q12" s="460"/>
      <c r="AR12" s="155"/>
    </row>
    <row r="13" spans="2:44" ht="15.75" x14ac:dyDescent="0.25">
      <c r="B13" s="485"/>
      <c r="C13" s="477" t="s">
        <v>17</v>
      </c>
      <c r="D13" s="66" t="s">
        <v>13</v>
      </c>
      <c r="E13" s="73">
        <f>272.301+78.286</f>
        <v>350.58699999999999</v>
      </c>
      <c r="F13" s="24"/>
      <c r="G13" s="2">
        <f>E13+F13</f>
        <v>350.58699999999999</v>
      </c>
      <c r="H13" s="342">
        <v>318.565</v>
      </c>
      <c r="I13" s="24">
        <f t="shared" si="0"/>
        <v>32.021999999999991</v>
      </c>
      <c r="J13" s="192">
        <f t="shared" si="1"/>
        <v>0.90866175870753907</v>
      </c>
      <c r="K13" s="316" t="s">
        <v>410</v>
      </c>
      <c r="L13" s="472">
        <f>E13+E14</f>
        <v>428.87199999999996</v>
      </c>
      <c r="M13" s="473">
        <f>F13+F14</f>
        <v>0</v>
      </c>
      <c r="N13" s="473">
        <f>L13+M13</f>
        <v>428.87199999999996</v>
      </c>
      <c r="O13" s="474">
        <f>H13+H14</f>
        <v>410.726</v>
      </c>
      <c r="P13" s="474">
        <f>N13-O13</f>
        <v>18.145999999999958</v>
      </c>
      <c r="Q13" s="460">
        <f>O13/N13</f>
        <v>0.95768900744278018</v>
      </c>
      <c r="AR13" s="155"/>
    </row>
    <row r="14" spans="2:44" ht="15.75" x14ac:dyDescent="0.25">
      <c r="B14" s="485"/>
      <c r="C14" s="470"/>
      <c r="D14" s="66" t="s">
        <v>14</v>
      </c>
      <c r="E14" s="73">
        <f>156.571-78.286</f>
        <v>78.284999999999997</v>
      </c>
      <c r="F14" s="24"/>
      <c r="G14" s="2">
        <f>E14+F14+I13</f>
        <v>110.30699999999999</v>
      </c>
      <c r="H14" s="342">
        <v>92.161000000000001</v>
      </c>
      <c r="I14" s="24">
        <f t="shared" si="0"/>
        <v>18.145999999999987</v>
      </c>
      <c r="J14" s="192">
        <f t="shared" si="1"/>
        <v>0.83549548079450997</v>
      </c>
      <c r="K14" s="264" t="s">
        <v>410</v>
      </c>
      <c r="L14" s="472"/>
      <c r="M14" s="473"/>
      <c r="N14" s="473"/>
      <c r="O14" s="473"/>
      <c r="P14" s="473"/>
      <c r="Q14" s="460"/>
      <c r="AR14" s="155"/>
    </row>
    <row r="15" spans="2:44" ht="15.75" x14ac:dyDescent="0.25">
      <c r="B15" s="485"/>
      <c r="C15" s="477" t="s">
        <v>18</v>
      </c>
      <c r="D15" s="66" t="s">
        <v>13</v>
      </c>
      <c r="E15" s="73">
        <v>372.67500000000001</v>
      </c>
      <c r="F15" s="24"/>
      <c r="G15" s="2">
        <f>E15+F15</f>
        <v>372.67500000000001</v>
      </c>
      <c r="H15" s="342">
        <v>333.95699999999999</v>
      </c>
      <c r="I15" s="24">
        <f t="shared" si="0"/>
        <v>38.718000000000018</v>
      </c>
      <c r="J15" s="192">
        <f t="shared" si="1"/>
        <v>0.89610786878647608</v>
      </c>
      <c r="K15" s="265" t="s">
        <v>410</v>
      </c>
      <c r="L15" s="472">
        <f>E15+E16</f>
        <v>586.96100000000001</v>
      </c>
      <c r="M15" s="473">
        <f>F15+F16</f>
        <v>0</v>
      </c>
      <c r="N15" s="473">
        <f>L15+M15</f>
        <v>586.96100000000001</v>
      </c>
      <c r="O15" s="474">
        <f>H15+H16</f>
        <v>575.26300000000003</v>
      </c>
      <c r="P15" s="474">
        <f>N15-O15</f>
        <v>11.697999999999979</v>
      </c>
      <c r="Q15" s="460">
        <f>O15/N15</f>
        <v>0.98007022613086736</v>
      </c>
      <c r="AR15" s="155"/>
    </row>
    <row r="16" spans="2:44" ht="15.75" x14ac:dyDescent="0.25">
      <c r="B16" s="485"/>
      <c r="C16" s="470"/>
      <c r="D16" s="66" t="s">
        <v>14</v>
      </c>
      <c r="E16" s="73">
        <v>214.286</v>
      </c>
      <c r="F16" s="24"/>
      <c r="G16" s="2">
        <f>E16+F16+I15</f>
        <v>253.00400000000002</v>
      </c>
      <c r="H16" s="342">
        <v>241.30600000000001</v>
      </c>
      <c r="I16" s="24">
        <f t="shared" si="0"/>
        <v>11.698000000000008</v>
      </c>
      <c r="J16" s="192">
        <f t="shared" si="1"/>
        <v>0.95376357686044488</v>
      </c>
      <c r="K16" s="264" t="s">
        <v>410</v>
      </c>
      <c r="L16" s="472"/>
      <c r="M16" s="473"/>
      <c r="N16" s="473"/>
      <c r="O16" s="473"/>
      <c r="P16" s="473"/>
      <c r="Q16" s="460"/>
      <c r="AR16" s="155"/>
    </row>
    <row r="17" spans="2:44" ht="15.75" x14ac:dyDescent="0.25">
      <c r="B17" s="485"/>
      <c r="C17" s="470" t="s">
        <v>19</v>
      </c>
      <c r="D17" s="66" t="s">
        <v>13</v>
      </c>
      <c r="E17" s="73">
        <v>136.232</v>
      </c>
      <c r="F17" s="24"/>
      <c r="G17" s="2">
        <f>E17+F17</f>
        <v>136.232</v>
      </c>
      <c r="H17" s="343">
        <v>89.856999999999999</v>
      </c>
      <c r="I17" s="24">
        <f t="shared" si="0"/>
        <v>46.375</v>
      </c>
      <c r="J17" s="192">
        <f t="shared" si="1"/>
        <v>0.65958805566973988</v>
      </c>
      <c r="K17" s="265" t="s">
        <v>410</v>
      </c>
      <c r="L17" s="472">
        <f>E17+E18</f>
        <v>214.565</v>
      </c>
      <c r="M17" s="473">
        <f>F17+F18</f>
        <v>0</v>
      </c>
      <c r="N17" s="473">
        <f>L17+M17</f>
        <v>214.565</v>
      </c>
      <c r="O17" s="474">
        <f>H17+H18</f>
        <v>154.053</v>
      </c>
      <c r="P17" s="474">
        <f>N17-O17</f>
        <v>60.512</v>
      </c>
      <c r="Q17" s="460">
        <f>O17/N17</f>
        <v>0.71797823503367275</v>
      </c>
      <c r="AR17" s="155"/>
    </row>
    <row r="18" spans="2:44" ht="15.75" x14ac:dyDescent="0.25">
      <c r="B18" s="485"/>
      <c r="C18" s="470"/>
      <c r="D18" s="66" t="s">
        <v>14</v>
      </c>
      <c r="E18" s="73">
        <v>78.332999999999998</v>
      </c>
      <c r="F18" s="24"/>
      <c r="G18" s="2">
        <f>E18+F18+I17</f>
        <v>124.708</v>
      </c>
      <c r="H18" s="342">
        <v>64.195999999999998</v>
      </c>
      <c r="I18" s="24">
        <f t="shared" si="0"/>
        <v>60.512</v>
      </c>
      <c r="J18" s="192">
        <f t="shared" si="1"/>
        <v>0.51477050389710366</v>
      </c>
      <c r="K18" s="264" t="s">
        <v>410</v>
      </c>
      <c r="L18" s="472"/>
      <c r="M18" s="473"/>
      <c r="N18" s="473"/>
      <c r="O18" s="473"/>
      <c r="P18" s="473"/>
      <c r="Q18" s="460"/>
      <c r="AR18" s="155"/>
    </row>
    <row r="19" spans="2:44" ht="15.75" x14ac:dyDescent="0.25">
      <c r="B19" s="485"/>
      <c r="C19" s="470" t="s">
        <v>20</v>
      </c>
      <c r="D19" s="66" t="s">
        <v>13</v>
      </c>
      <c r="E19" s="73">
        <v>1668.9590000000001</v>
      </c>
      <c r="F19" s="24"/>
      <c r="G19" s="2">
        <f>E19+F19</f>
        <v>1668.9590000000001</v>
      </c>
      <c r="H19" s="343">
        <v>1389.4590000000001</v>
      </c>
      <c r="I19" s="24">
        <f t="shared" si="0"/>
        <v>279.5</v>
      </c>
      <c r="J19" s="192">
        <f t="shared" si="1"/>
        <v>0.83253033777342644</v>
      </c>
      <c r="K19" s="265" t="s">
        <v>410</v>
      </c>
      <c r="L19" s="472">
        <f>E19+E20</f>
        <v>2041.636</v>
      </c>
      <c r="M19" s="473">
        <f>F19+F20</f>
        <v>0</v>
      </c>
      <c r="N19" s="473">
        <f>L19+M19</f>
        <v>2041.636</v>
      </c>
      <c r="O19" s="474">
        <f>H19+H20</f>
        <v>1972.5030000000002</v>
      </c>
      <c r="P19" s="474">
        <f>N19-O19</f>
        <v>69.132999999999811</v>
      </c>
      <c r="Q19" s="460">
        <f>O19/N19</f>
        <v>0.96613843016091028</v>
      </c>
      <c r="AR19" s="155"/>
    </row>
    <row r="20" spans="2:44" ht="15.75" x14ac:dyDescent="0.25">
      <c r="B20" s="485"/>
      <c r="C20" s="470"/>
      <c r="D20" s="66" t="s">
        <v>14</v>
      </c>
      <c r="E20" s="73">
        <v>372.67700000000002</v>
      </c>
      <c r="F20" s="24"/>
      <c r="G20" s="2">
        <f>E20+F20+I19</f>
        <v>652.17700000000002</v>
      </c>
      <c r="H20" s="342">
        <v>583.04399999999998</v>
      </c>
      <c r="I20" s="24">
        <f t="shared" si="0"/>
        <v>69.133000000000038</v>
      </c>
      <c r="J20" s="192">
        <f t="shared" si="1"/>
        <v>0.89399656841624275</v>
      </c>
      <c r="K20" s="264" t="s">
        <v>410</v>
      </c>
      <c r="L20" s="472"/>
      <c r="M20" s="473"/>
      <c r="N20" s="473"/>
      <c r="O20" s="473"/>
      <c r="P20" s="473"/>
      <c r="Q20" s="460"/>
      <c r="AR20" s="155"/>
    </row>
    <row r="21" spans="2:44" ht="15.75" x14ac:dyDescent="0.25">
      <c r="B21" s="485"/>
      <c r="C21" s="470" t="s">
        <v>21</v>
      </c>
      <c r="D21" s="66" t="s">
        <v>13</v>
      </c>
      <c r="E21" s="73">
        <f>453.426+130.358</f>
        <v>583.78399999999999</v>
      </c>
      <c r="F21" s="24">
        <v>-500</v>
      </c>
      <c r="G21" s="2">
        <f>E21+F21</f>
        <v>83.783999999999992</v>
      </c>
      <c r="H21" s="343">
        <v>182.41300000000001</v>
      </c>
      <c r="I21" s="2">
        <f>G21-H21</f>
        <v>-98.629000000000019</v>
      </c>
      <c r="J21" s="192">
        <f t="shared" si="1"/>
        <v>2.1771818008211596</v>
      </c>
      <c r="K21" s="299" t="s">
        <v>410</v>
      </c>
      <c r="L21" s="472">
        <f>E21+E22</f>
        <v>714.14300000000003</v>
      </c>
      <c r="M21" s="473">
        <f>F21+F22</f>
        <v>-500</v>
      </c>
      <c r="N21" s="473">
        <f>L21+M21</f>
        <v>214.14300000000003</v>
      </c>
      <c r="O21" s="474">
        <f>H21+H22</f>
        <v>216.11</v>
      </c>
      <c r="P21" s="474">
        <f>N21-O21</f>
        <v>-1.9669999999999845</v>
      </c>
      <c r="Q21" s="460">
        <f>O21/N21</f>
        <v>1.0091854508435951</v>
      </c>
      <c r="AR21" s="155"/>
    </row>
    <row r="22" spans="2:44" ht="15.75" x14ac:dyDescent="0.25">
      <c r="B22" s="485"/>
      <c r="C22" s="470"/>
      <c r="D22" s="66" t="s">
        <v>14</v>
      </c>
      <c r="E22" s="73">
        <f>260.717-130.358</f>
        <v>130.35899999999998</v>
      </c>
      <c r="F22" s="24"/>
      <c r="G22" s="2">
        <f>E22+F22+I21</f>
        <v>31.729999999999961</v>
      </c>
      <c r="H22" s="344">
        <v>33.697000000000003</v>
      </c>
      <c r="I22" s="2">
        <f>G22-H22</f>
        <v>-1.9670000000000414</v>
      </c>
      <c r="J22" s="192">
        <f t="shared" si="1"/>
        <v>1.0619918058619617</v>
      </c>
      <c r="K22" s="264" t="s">
        <v>410</v>
      </c>
      <c r="L22" s="472"/>
      <c r="M22" s="473"/>
      <c r="N22" s="473"/>
      <c r="O22" s="473"/>
      <c r="P22" s="473"/>
      <c r="Q22" s="460"/>
      <c r="AR22" s="155"/>
    </row>
    <row r="23" spans="2:44" ht="15.75" x14ac:dyDescent="0.25">
      <c r="B23" s="485"/>
      <c r="C23" s="470" t="s">
        <v>22</v>
      </c>
      <c r="D23" s="66" t="s">
        <v>13</v>
      </c>
      <c r="E23" s="73">
        <v>391.75</v>
      </c>
      <c r="F23" s="24"/>
      <c r="G23" s="2">
        <f>E23+F23</f>
        <v>391.75</v>
      </c>
      <c r="H23" s="342">
        <v>241.38800000000001</v>
      </c>
      <c r="I23" s="24">
        <f t="shared" si="0"/>
        <v>150.36199999999999</v>
      </c>
      <c r="J23" s="192">
        <f t="shared" si="1"/>
        <v>0.61617868538608811</v>
      </c>
      <c r="K23" s="265" t="s">
        <v>410</v>
      </c>
      <c r="L23" s="472">
        <f>E23+E24</f>
        <v>617.00400000000002</v>
      </c>
      <c r="M23" s="473">
        <f>F23+F24</f>
        <v>-122.223</v>
      </c>
      <c r="N23" s="473">
        <f>L23+M23</f>
        <v>494.78100000000001</v>
      </c>
      <c r="O23" s="474">
        <f>H23+H24</f>
        <v>463.62200000000001</v>
      </c>
      <c r="P23" s="474">
        <f>N23-O23</f>
        <v>31.158999999999992</v>
      </c>
      <c r="Q23" s="460">
        <f>O23/N23</f>
        <v>0.93702466343695501</v>
      </c>
      <c r="AR23" s="155"/>
    </row>
    <row r="24" spans="2:44" ht="15.75" x14ac:dyDescent="0.25">
      <c r="B24" s="485"/>
      <c r="C24" s="470"/>
      <c r="D24" s="66" t="s">
        <v>14</v>
      </c>
      <c r="E24" s="73">
        <v>225.25399999999999</v>
      </c>
      <c r="F24" s="24">
        <f>-122.223</f>
        <v>-122.223</v>
      </c>
      <c r="G24" s="2">
        <f>E24+F24+I23</f>
        <v>253.39299999999997</v>
      </c>
      <c r="H24" s="342">
        <v>222.23400000000001</v>
      </c>
      <c r="I24" s="24">
        <f t="shared" si="0"/>
        <v>31.158999999999963</v>
      </c>
      <c r="J24" s="192">
        <f t="shared" si="1"/>
        <v>0.87703290935424438</v>
      </c>
      <c r="K24" s="264" t="s">
        <v>410</v>
      </c>
      <c r="L24" s="472"/>
      <c r="M24" s="473"/>
      <c r="N24" s="473"/>
      <c r="O24" s="473"/>
      <c r="P24" s="473"/>
      <c r="Q24" s="460"/>
      <c r="AR24" s="155"/>
    </row>
    <row r="25" spans="2:44" x14ac:dyDescent="0.25">
      <c r="B25" s="485"/>
      <c r="C25" s="470" t="s">
        <v>23</v>
      </c>
      <c r="D25" s="66" t="s">
        <v>13</v>
      </c>
      <c r="E25" s="73">
        <v>70.216999999999999</v>
      </c>
      <c r="F25" s="24">
        <f>-99</f>
        <v>-99</v>
      </c>
      <c r="G25" s="2">
        <f>E25+F25</f>
        <v>-28.783000000000001</v>
      </c>
      <c r="H25" s="342">
        <v>2.4620000000000002</v>
      </c>
      <c r="I25" s="24">
        <f t="shared" si="0"/>
        <v>-31.245000000000001</v>
      </c>
      <c r="J25" s="192">
        <f>(H25/G25)</f>
        <v>-8.5536601466143211E-2</v>
      </c>
      <c r="K25" s="257">
        <v>43167</v>
      </c>
      <c r="L25" s="472">
        <f>E25+E26</f>
        <v>110.592</v>
      </c>
      <c r="M25" s="473">
        <f>F25+F26</f>
        <v>-108.1</v>
      </c>
      <c r="N25" s="473">
        <f>L25+M25</f>
        <v>2.4920000000000044</v>
      </c>
      <c r="O25" s="474">
        <f>H25+H26</f>
        <v>2.4620000000000002</v>
      </c>
      <c r="P25" s="474">
        <f>N25-O25</f>
        <v>3.0000000000004245E-2</v>
      </c>
      <c r="Q25" s="460">
        <f>O25/N25</f>
        <v>0.98796147672552004</v>
      </c>
      <c r="AR25" s="155"/>
    </row>
    <row r="26" spans="2:44" ht="15.75" x14ac:dyDescent="0.25">
      <c r="B26" s="485"/>
      <c r="C26" s="470"/>
      <c r="D26" s="66" t="s">
        <v>14</v>
      </c>
      <c r="E26" s="73">
        <v>40.375</v>
      </c>
      <c r="F26" s="24">
        <f>-9.1</f>
        <v>-9.1</v>
      </c>
      <c r="G26" s="2">
        <f>E26+F26+I25</f>
        <v>2.9999999999997584E-2</v>
      </c>
      <c r="H26" s="342">
        <v>0</v>
      </c>
      <c r="I26" s="2">
        <f t="shared" si="0"/>
        <v>2.9999999999997584E-2</v>
      </c>
      <c r="J26" s="192">
        <f t="shared" si="1"/>
        <v>0</v>
      </c>
      <c r="K26" s="264" t="s">
        <v>410</v>
      </c>
      <c r="L26" s="472"/>
      <c r="M26" s="473"/>
      <c r="N26" s="473"/>
      <c r="O26" s="473"/>
      <c r="P26" s="473"/>
      <c r="Q26" s="460"/>
      <c r="AR26" s="155"/>
    </row>
    <row r="27" spans="2:44" ht="16.5" thickBot="1" x14ac:dyDescent="0.3">
      <c r="B27" s="485"/>
      <c r="C27" s="470" t="s">
        <v>24</v>
      </c>
      <c r="D27" s="66" t="s">
        <v>13</v>
      </c>
      <c r="E27" s="73">
        <v>342.71</v>
      </c>
      <c r="F27" s="24"/>
      <c r="G27" s="2">
        <f>E27+F27</f>
        <v>342.71</v>
      </c>
      <c r="H27" s="343">
        <v>337.69299999999998</v>
      </c>
      <c r="I27" s="24">
        <f t="shared" si="0"/>
        <v>5.0169999999999959</v>
      </c>
      <c r="J27" s="192">
        <f t="shared" si="1"/>
        <v>0.98536080067695719</v>
      </c>
      <c r="K27" s="265" t="s">
        <v>410</v>
      </c>
      <c r="L27" s="472">
        <f>E27+E28</f>
        <v>539.76599999999996</v>
      </c>
      <c r="M27" s="473">
        <f>F27+F28</f>
        <v>-77.777000000000001</v>
      </c>
      <c r="N27" s="473">
        <f>L27+M27</f>
        <v>461.98899999999998</v>
      </c>
      <c r="O27" s="474">
        <f>H27+H28</f>
        <v>468.51099999999997</v>
      </c>
      <c r="P27" s="474">
        <f>N27-O27</f>
        <v>-6.5219999999999914</v>
      </c>
      <c r="Q27" s="460">
        <f>O27/N27</f>
        <v>1.0141172192411507</v>
      </c>
      <c r="AR27" s="155"/>
    </row>
    <row r="28" spans="2:44" ht="15.75" x14ac:dyDescent="0.25">
      <c r="B28" s="485"/>
      <c r="C28" s="470"/>
      <c r="D28" s="66" t="s">
        <v>14</v>
      </c>
      <c r="E28" s="73">
        <v>197.05600000000001</v>
      </c>
      <c r="F28" s="24">
        <f>-77.777</f>
        <v>-77.777000000000001</v>
      </c>
      <c r="G28" s="2">
        <f>E28+F28+I27</f>
        <v>124.29600000000001</v>
      </c>
      <c r="H28" s="342">
        <v>130.81800000000001</v>
      </c>
      <c r="I28" s="24">
        <f t="shared" si="0"/>
        <v>-6.5220000000000056</v>
      </c>
      <c r="J28" s="192">
        <f t="shared" si="1"/>
        <v>1.052471519598378</v>
      </c>
      <c r="K28" s="264" t="s">
        <v>410</v>
      </c>
      <c r="L28" s="472"/>
      <c r="M28" s="473"/>
      <c r="N28" s="473"/>
      <c r="O28" s="473"/>
      <c r="P28" s="473"/>
      <c r="Q28" s="460"/>
      <c r="T28" s="13" t="s">
        <v>135</v>
      </c>
      <c r="U28" s="3">
        <v>3923</v>
      </c>
      <c r="AR28" s="155"/>
    </row>
    <row r="29" spans="2:44" x14ac:dyDescent="0.25">
      <c r="B29" s="485"/>
      <c r="C29" s="470" t="s">
        <v>25</v>
      </c>
      <c r="D29" s="66" t="s">
        <v>13</v>
      </c>
      <c r="E29" s="73">
        <v>21.314</v>
      </c>
      <c r="F29" s="24"/>
      <c r="G29" s="2">
        <f>E29+F29</f>
        <v>21.314</v>
      </c>
      <c r="H29" s="343">
        <v>28.766999999999999</v>
      </c>
      <c r="I29" s="24">
        <f>G29-H29</f>
        <v>-7.4529999999999994</v>
      </c>
      <c r="J29" s="192">
        <f t="shared" si="1"/>
        <v>1.349676269118889</v>
      </c>
      <c r="K29" s="257">
        <v>43117</v>
      </c>
      <c r="L29" s="472">
        <f>E29+E30</f>
        <v>33.569000000000003</v>
      </c>
      <c r="M29" s="473">
        <f>F29+F30</f>
        <v>0</v>
      </c>
      <c r="N29" s="473">
        <f>L29+M29</f>
        <v>33.569000000000003</v>
      </c>
      <c r="O29" s="474">
        <f>H29+H30</f>
        <v>31.154</v>
      </c>
      <c r="P29" s="474">
        <f>N29-O29</f>
        <v>2.4150000000000027</v>
      </c>
      <c r="Q29" s="460">
        <f>O29/N29</f>
        <v>0.92805862551759055</v>
      </c>
      <c r="T29" s="4" t="s">
        <v>26</v>
      </c>
      <c r="U29" s="5">
        <v>2491</v>
      </c>
      <c r="AR29" s="155"/>
    </row>
    <row r="30" spans="2:44" ht="15.75" thickBot="1" x14ac:dyDescent="0.3">
      <c r="B30" s="463"/>
      <c r="C30" s="471"/>
      <c r="D30" s="67" t="s">
        <v>14</v>
      </c>
      <c r="E30" s="74">
        <v>12.255000000000001</v>
      </c>
      <c r="F30" s="25"/>
      <c r="G30" s="59">
        <f>E30+F30+I29</f>
        <v>4.8020000000000014</v>
      </c>
      <c r="H30" s="345">
        <v>2.387</v>
      </c>
      <c r="I30" s="25">
        <f t="shared" si="0"/>
        <v>2.4150000000000014</v>
      </c>
      <c r="J30" s="193">
        <f t="shared" si="1"/>
        <v>0.49708454810495611</v>
      </c>
      <c r="K30" s="259" t="s">
        <v>410</v>
      </c>
      <c r="L30" s="465"/>
      <c r="M30" s="467"/>
      <c r="N30" s="467"/>
      <c r="O30" s="467"/>
      <c r="P30" s="467"/>
      <c r="Q30" s="461"/>
      <c r="T30" s="6" t="s">
        <v>27</v>
      </c>
      <c r="U30" s="7" t="s">
        <v>28</v>
      </c>
      <c r="AR30" s="155"/>
    </row>
    <row r="31" spans="2:44" ht="20.100000000000001" customHeight="1" thickBot="1" x14ac:dyDescent="0.3">
      <c r="F31" s="50">
        <f>SUM(F7:F30)</f>
        <v>-1265.0999999999999</v>
      </c>
      <c r="J31" s="194"/>
      <c r="K31" s="169"/>
      <c r="T31" s="8" t="s">
        <v>29</v>
      </c>
      <c r="U31" s="9">
        <v>1432</v>
      </c>
      <c r="AR31" s="155"/>
    </row>
    <row r="32" spans="2:44" s="51" customFormat="1" ht="15" customHeight="1" x14ac:dyDescent="0.25">
      <c r="B32" s="50"/>
      <c r="C32" s="462" t="s">
        <v>30</v>
      </c>
      <c r="D32" s="140" t="s">
        <v>31</v>
      </c>
      <c r="E32" s="80">
        <f>E7+E9+E11+E13+E15+E17+E19+E21+E23+E25+E27+E29</f>
        <v>4826.3760000000002</v>
      </c>
      <c r="F32" s="81">
        <f>F7+F9+F11+F13+F15+F17+F19+F21+F23+F25+F27+F29</f>
        <v>-979</v>
      </c>
      <c r="G32" s="82">
        <f>E32+F32</f>
        <v>3847.3760000000002</v>
      </c>
      <c r="H32" s="319">
        <f>H7+H9+H11+H13+H15+H17+H19+H21+H23+H25+H27+H29</f>
        <v>3303.1970000000001</v>
      </c>
      <c r="I32" s="82">
        <f>G32-H32</f>
        <v>544.17900000000009</v>
      </c>
      <c r="J32" s="195">
        <f>(H32/G32)</f>
        <v>0.85855840448139198</v>
      </c>
      <c r="K32" s="266" t="s">
        <v>410</v>
      </c>
      <c r="L32" s="464">
        <f>E32+E33</f>
        <v>6437</v>
      </c>
      <c r="M32" s="466">
        <f>F32+F33</f>
        <v>-1265.0999999999999</v>
      </c>
      <c r="N32" s="466">
        <f>L32+M32</f>
        <v>5171.8999999999996</v>
      </c>
      <c r="O32" s="466">
        <f>H32+H33</f>
        <v>4963.0360000000001</v>
      </c>
      <c r="P32" s="466">
        <f>N32-O32</f>
        <v>208.86399999999958</v>
      </c>
      <c r="Q32" s="468">
        <f>O32/N32</f>
        <v>0.95961561515110505</v>
      </c>
      <c r="R32" s="50"/>
      <c r="S32" s="50"/>
      <c r="AR32" s="155"/>
    </row>
    <row r="33" spans="2:78" s="51" customFormat="1" ht="15" customHeight="1" thickBot="1" x14ac:dyDescent="0.3">
      <c r="B33" s="50"/>
      <c r="C33" s="463"/>
      <c r="D33" s="141" t="s">
        <v>32</v>
      </c>
      <c r="E33" s="76">
        <f>E8+E10+E12+E14+E16+E18+E20+E22+E24+E26+E28+E30</f>
        <v>1610.624</v>
      </c>
      <c r="F33" s="77">
        <f>F8+F10+F12+F14+F16+F18+F20+F22+F24+F26+F28+F30</f>
        <v>-286.10000000000002</v>
      </c>
      <c r="G33" s="271">
        <f>E33+F33</f>
        <v>1324.5239999999999</v>
      </c>
      <c r="H33" s="320">
        <f>H8+H10+H12+H14+H16+H18+H20+H22+H24+H26+H28+H30</f>
        <v>1659.8389999999999</v>
      </c>
      <c r="I33" s="271">
        <f>G33-H33</f>
        <v>-335.31500000000005</v>
      </c>
      <c r="J33" s="196">
        <f>(H33/G33)</f>
        <v>1.2531588706584404</v>
      </c>
      <c r="K33" s="235" t="s">
        <v>410</v>
      </c>
      <c r="L33" s="465"/>
      <c r="M33" s="467"/>
      <c r="N33" s="467"/>
      <c r="O33" s="467"/>
      <c r="P33" s="467"/>
      <c r="Q33" s="469"/>
      <c r="R33" s="50"/>
      <c r="S33" s="50"/>
      <c r="AR33" s="155"/>
    </row>
    <row r="34" spans="2:78" s="51" customFormat="1" ht="4.5" hidden="1" customHeight="1" x14ac:dyDescent="0.25">
      <c r="B34" s="50"/>
      <c r="C34" s="182"/>
      <c r="D34" s="183"/>
      <c r="E34" s="184"/>
      <c r="F34" s="184"/>
      <c r="G34" s="185"/>
      <c r="H34" s="186"/>
      <c r="I34" s="185"/>
      <c r="J34" s="187">
        <v>1</v>
      </c>
      <c r="K34" s="188"/>
      <c r="L34" s="189"/>
      <c r="M34" s="189"/>
      <c r="N34" s="189"/>
      <c r="O34" s="189"/>
      <c r="P34" s="189"/>
      <c r="Q34" s="190"/>
      <c r="R34" s="50"/>
      <c r="S34" s="50"/>
      <c r="AR34" s="155"/>
    </row>
    <row r="35" spans="2:78" ht="50.1" customHeight="1" thickBot="1" x14ac:dyDescent="0.3">
      <c r="D35" s="127"/>
      <c r="H35" s="125"/>
      <c r="AR35" s="155"/>
    </row>
    <row r="36" spans="2:78" ht="73.5" customHeight="1" thickBot="1" x14ac:dyDescent="0.3">
      <c r="B36" s="83" t="s">
        <v>1</v>
      </c>
      <c r="C36" s="83" t="s">
        <v>2</v>
      </c>
      <c r="D36" s="83" t="s">
        <v>33</v>
      </c>
      <c r="E36" s="83" t="s">
        <v>243</v>
      </c>
      <c r="F36" s="84" t="s">
        <v>3</v>
      </c>
      <c r="G36" s="60" t="s">
        <v>34</v>
      </c>
      <c r="H36" s="61" t="s">
        <v>4</v>
      </c>
      <c r="I36" s="62" t="s">
        <v>5</v>
      </c>
      <c r="J36" s="61" t="s">
        <v>6</v>
      </c>
      <c r="K36" s="61" t="s">
        <v>7</v>
      </c>
      <c r="L36" s="61" t="s">
        <v>8</v>
      </c>
      <c r="M36" s="64" t="s">
        <v>9</v>
      </c>
      <c r="N36" s="98" t="s">
        <v>10</v>
      </c>
      <c r="O36" s="60" t="s">
        <v>4</v>
      </c>
      <c r="P36" s="61" t="s">
        <v>5</v>
      </c>
      <c r="Q36" s="61" t="s">
        <v>6</v>
      </c>
      <c r="R36" s="61" t="s">
        <v>7</v>
      </c>
      <c r="S36" s="61" t="s">
        <v>8</v>
      </c>
      <c r="T36" s="64" t="s">
        <v>9</v>
      </c>
      <c r="V36" s="83" t="s">
        <v>2</v>
      </c>
      <c r="W36" s="83" t="s">
        <v>33</v>
      </c>
      <c r="X36" s="83" t="s">
        <v>243</v>
      </c>
      <c r="Y36" s="83" t="s">
        <v>3</v>
      </c>
      <c r="Z36" s="83" t="s">
        <v>34</v>
      </c>
      <c r="AA36" s="83" t="s">
        <v>4</v>
      </c>
      <c r="AB36" s="97" t="s">
        <v>5</v>
      </c>
      <c r="AC36" s="98" t="s">
        <v>6</v>
      </c>
      <c r="AD36" s="83" t="s">
        <v>7</v>
      </c>
      <c r="AE36" s="83" t="s">
        <v>8</v>
      </c>
      <c r="AF36" s="84" t="s">
        <v>9</v>
      </c>
      <c r="AG36" s="98" t="s">
        <v>35</v>
      </c>
      <c r="AH36" s="60" t="s">
        <v>4</v>
      </c>
      <c r="AI36" s="61" t="s">
        <v>5</v>
      </c>
      <c r="AJ36" s="61" t="s">
        <v>6</v>
      </c>
      <c r="AK36" s="61" t="s">
        <v>7</v>
      </c>
      <c r="AL36" s="61" t="s">
        <v>8</v>
      </c>
      <c r="AM36" s="64" t="s">
        <v>9</v>
      </c>
      <c r="AO36" s="83" t="s">
        <v>2</v>
      </c>
      <c r="AP36" s="83" t="s">
        <v>33</v>
      </c>
      <c r="AQ36" s="83" t="s">
        <v>243</v>
      </c>
      <c r="AR36" s="83" t="s">
        <v>3</v>
      </c>
      <c r="AS36" s="63" t="s">
        <v>34</v>
      </c>
      <c r="AT36" s="61" t="s">
        <v>4</v>
      </c>
      <c r="AU36" s="62" t="s">
        <v>5</v>
      </c>
      <c r="AV36" s="61" t="s">
        <v>6</v>
      </c>
      <c r="AW36" s="61" t="s">
        <v>7</v>
      </c>
      <c r="AX36" s="61" t="s">
        <v>8</v>
      </c>
      <c r="AY36" s="64" t="s">
        <v>9</v>
      </c>
      <c r="AZ36" s="83" t="s">
        <v>35</v>
      </c>
      <c r="BA36" s="60" t="s">
        <v>4</v>
      </c>
      <c r="BB36" s="61" t="s">
        <v>5</v>
      </c>
      <c r="BC36" s="61" t="s">
        <v>6</v>
      </c>
      <c r="BD36" s="61" t="s">
        <v>7</v>
      </c>
      <c r="BE36" s="61" t="s">
        <v>8</v>
      </c>
      <c r="BF36" s="64" t="s">
        <v>9</v>
      </c>
      <c r="BG36" s="232">
        <v>1</v>
      </c>
      <c r="BI36" s="83" t="s">
        <v>2</v>
      </c>
      <c r="BJ36" s="83" t="s">
        <v>33</v>
      </c>
      <c r="BK36" s="83" t="s">
        <v>243</v>
      </c>
      <c r="BL36" s="83" t="s">
        <v>3</v>
      </c>
      <c r="BM36" s="63" t="s">
        <v>34</v>
      </c>
      <c r="BN36" s="61" t="s">
        <v>4</v>
      </c>
      <c r="BO36" s="62" t="s">
        <v>5</v>
      </c>
      <c r="BP36" s="61" t="s">
        <v>6</v>
      </c>
      <c r="BQ36" s="61" t="s">
        <v>7</v>
      </c>
      <c r="BR36" s="61" t="s">
        <v>8</v>
      </c>
      <c r="BS36" s="64" t="s">
        <v>9</v>
      </c>
      <c r="BT36" s="98" t="s">
        <v>35</v>
      </c>
      <c r="BU36" s="60" t="s">
        <v>4</v>
      </c>
      <c r="BV36" s="61" t="s">
        <v>5</v>
      </c>
      <c r="BW36" s="61" t="s">
        <v>6</v>
      </c>
      <c r="BX36" s="61" t="s">
        <v>7</v>
      </c>
      <c r="BY36" s="61" t="s">
        <v>8</v>
      </c>
      <c r="BZ36" s="64" t="s">
        <v>9</v>
      </c>
    </row>
    <row r="37" spans="2:78" ht="21.75" customHeight="1" x14ac:dyDescent="0.25">
      <c r="B37" s="493" t="s">
        <v>199</v>
      </c>
      <c r="C37" s="447" t="s">
        <v>36</v>
      </c>
      <c r="D37" s="450" t="s">
        <v>37</v>
      </c>
      <c r="E37" s="476" t="s">
        <v>215</v>
      </c>
      <c r="F37" s="334" t="s">
        <v>13</v>
      </c>
      <c r="G37" s="95">
        <v>1.03097412E-2</v>
      </c>
      <c r="H37" s="88">
        <f>$U$29*G37</f>
        <v>25.681565329200001</v>
      </c>
      <c r="I37" s="308">
        <f>-36.975</f>
        <v>-36.975000000000001</v>
      </c>
      <c r="J37" s="89">
        <f>H37+I37</f>
        <v>-11.2934346708</v>
      </c>
      <c r="K37" s="202"/>
      <c r="L37" s="89">
        <f>J37-K37</f>
        <v>-11.2934346708</v>
      </c>
      <c r="M37" s="142">
        <f>K37/J37</f>
        <v>0</v>
      </c>
      <c r="N37" s="291">
        <v>43166</v>
      </c>
      <c r="O37" s="406">
        <f>H37+H38</f>
        <v>40.4451147276</v>
      </c>
      <c r="P37" s="405">
        <f>I37+I38</f>
        <v>-40.375</v>
      </c>
      <c r="Q37" s="402">
        <f>O37+P37</f>
        <v>7.0114727600000037E-2</v>
      </c>
      <c r="R37" s="404">
        <f>K37+K38</f>
        <v>0</v>
      </c>
      <c r="S37" s="402">
        <f>Q37-R37</f>
        <v>7.0114727600000037E-2</v>
      </c>
      <c r="T37" s="395">
        <f>R37/Q37</f>
        <v>0</v>
      </c>
      <c r="V37" s="400" t="s">
        <v>38</v>
      </c>
      <c r="W37" s="399" t="s">
        <v>39</v>
      </c>
      <c r="X37" s="421" t="s">
        <v>244</v>
      </c>
      <c r="Y37" s="99" t="s">
        <v>13</v>
      </c>
      <c r="Z37" s="72">
        <v>2.11414194E-2</v>
      </c>
      <c r="AA37" s="89">
        <f>$U$29*Z37</f>
        <v>52.663275725399998</v>
      </c>
      <c r="AB37" s="308">
        <f>-52.663</f>
        <v>-52.662999999999997</v>
      </c>
      <c r="AC37" s="89">
        <f>AA37+AB37</f>
        <v>2.7572540000164736E-4</v>
      </c>
      <c r="AD37" s="202">
        <v>1.333</v>
      </c>
      <c r="AE37" s="89">
        <f>AC37-AD37</f>
        <v>-1.3327242745999983</v>
      </c>
      <c r="AF37" s="142">
        <v>1</v>
      </c>
      <c r="AG37" s="267">
        <v>43166</v>
      </c>
      <c r="AH37" s="392">
        <f>AA37+AA38</f>
        <v>82.937788306199991</v>
      </c>
      <c r="AI37" s="391">
        <f>AB37+AB38</f>
        <v>-81.34</v>
      </c>
      <c r="AJ37" s="391">
        <f>AH37+AI37</f>
        <v>1.5977883061999876</v>
      </c>
      <c r="AK37" s="391">
        <f>AD37+AD38</f>
        <v>1.589</v>
      </c>
      <c r="AL37" s="391">
        <f>AJ37-AK37</f>
        <v>8.7883061999876055E-3</v>
      </c>
      <c r="AM37" s="388">
        <f>AK37/AJ37</f>
        <v>0.9944997055205087</v>
      </c>
      <c r="AO37" s="422" t="s">
        <v>40</v>
      </c>
      <c r="AP37" s="425" t="s">
        <v>41</v>
      </c>
      <c r="AQ37" s="417">
        <v>4309</v>
      </c>
      <c r="AR37" s="85" t="s">
        <v>13</v>
      </c>
      <c r="AS37" s="53">
        <v>1.5542385299999999E-2</v>
      </c>
      <c r="AT37" s="89">
        <f>$U$29*AS37</f>
        <v>38.716081782300002</v>
      </c>
      <c r="AU37" s="304"/>
      <c r="AV37" s="89">
        <f>AT37+AU37</f>
        <v>38.716081782300002</v>
      </c>
      <c r="AW37" s="202">
        <v>25.544</v>
      </c>
      <c r="AX37" s="89">
        <f t="shared" ref="AX37:AX68" si="2">AV37-AW37</f>
        <v>13.172081782300001</v>
      </c>
      <c r="AY37" s="142">
        <f t="shared" ref="AY37:AY67" si="3">AW37/AV37</f>
        <v>0.65977750908869248</v>
      </c>
      <c r="AZ37" s="279" t="s">
        <v>410</v>
      </c>
      <c r="BA37" s="427">
        <f>AT37+AT38</f>
        <v>60.9727775319</v>
      </c>
      <c r="BB37" s="428">
        <f>AU37+AU38</f>
        <v>0</v>
      </c>
      <c r="BC37" s="428">
        <f>BA37-BB37</f>
        <v>60.9727775319</v>
      </c>
      <c r="BD37" s="428">
        <f>AW37+AW38</f>
        <v>57.022000000000006</v>
      </c>
      <c r="BE37" s="428">
        <f>BC37-BD37</f>
        <v>3.9507775318999947</v>
      </c>
      <c r="BF37" s="429">
        <f>BD37/BC37</f>
        <v>0.9352042388124272</v>
      </c>
      <c r="BG37" s="430"/>
      <c r="BI37" s="457" t="s">
        <v>42</v>
      </c>
      <c r="BJ37" s="426" t="s">
        <v>43</v>
      </c>
      <c r="BK37" s="421">
        <v>4312</v>
      </c>
      <c r="BL37" s="85" t="s">
        <v>13</v>
      </c>
      <c r="BM37" s="71">
        <v>2.0576755999999999E-3</v>
      </c>
      <c r="BN37" s="111">
        <f>$U$29*BM37</f>
        <v>5.1256699196</v>
      </c>
      <c r="BO37" s="304"/>
      <c r="BP37" s="89">
        <f>BN37+BO37</f>
        <v>5.1256699196</v>
      </c>
      <c r="BQ37" s="202">
        <v>0.89200000000000002</v>
      </c>
      <c r="BR37" s="89">
        <f>BP37-BQ37</f>
        <v>4.2336699195999996</v>
      </c>
      <c r="BS37" s="142">
        <f t="shared" ref="BS37:BS66" si="4">BQ37/BP37</f>
        <v>0.17402603249754531</v>
      </c>
      <c r="BT37" s="296" t="s">
        <v>410</v>
      </c>
      <c r="BU37" s="374">
        <f>BN37+BN38</f>
        <v>8.0722613788000004</v>
      </c>
      <c r="BV37" s="370">
        <f>BO37+BO38</f>
        <v>0</v>
      </c>
      <c r="BW37" s="370">
        <f>BU37+BV37</f>
        <v>8.0722613788000004</v>
      </c>
      <c r="BX37" s="370">
        <f>BQ37+BQ38</f>
        <v>8.0340000000000007</v>
      </c>
      <c r="BY37" s="370">
        <f>BW37-BX37</f>
        <v>3.826137879999969E-2</v>
      </c>
      <c r="BZ37" s="372">
        <f>BX37/BW37</f>
        <v>0.99526014124115403</v>
      </c>
    </row>
    <row r="38" spans="2:78" ht="24" customHeight="1" thickBot="1" x14ac:dyDescent="0.3">
      <c r="B38" s="494"/>
      <c r="C38" s="448"/>
      <c r="D38" s="439"/>
      <c r="E38" s="409"/>
      <c r="F38" s="333" t="s">
        <v>14</v>
      </c>
      <c r="G38" s="75">
        <v>1.03097412E-2</v>
      </c>
      <c r="H38" s="90">
        <f>$U$31*G38</f>
        <v>14.7635493984</v>
      </c>
      <c r="I38" s="307">
        <f>-3.4</f>
        <v>-3.4</v>
      </c>
      <c r="J38" s="91">
        <f>H38+I38+L37</f>
        <v>7.0114727600000037E-2</v>
      </c>
      <c r="K38" s="69"/>
      <c r="L38" s="91">
        <f t="shared" ref="L38:L101" si="5">J38-K38</f>
        <v>7.0114727600000037E-2</v>
      </c>
      <c r="M38" s="143">
        <f>K38/J38</f>
        <v>0</v>
      </c>
      <c r="N38" s="292" t="s">
        <v>410</v>
      </c>
      <c r="O38" s="407"/>
      <c r="P38" s="403"/>
      <c r="Q38" s="403"/>
      <c r="R38" s="403"/>
      <c r="S38" s="403"/>
      <c r="T38" s="396"/>
      <c r="U38" s="46"/>
      <c r="V38" s="400"/>
      <c r="W38" s="378"/>
      <c r="X38" s="378"/>
      <c r="Y38" s="85" t="s">
        <v>14</v>
      </c>
      <c r="Z38" s="73">
        <v>2.11414194E-2</v>
      </c>
      <c r="AA38" s="91">
        <f>$U$31*Z38</f>
        <v>30.2745125808</v>
      </c>
      <c r="AB38" s="307">
        <f>-28.677</f>
        <v>-28.677</v>
      </c>
      <c r="AC38" s="91">
        <f>AA38+AB38+AE37</f>
        <v>0.26478830620000182</v>
      </c>
      <c r="AD38" s="69">
        <v>0.25600000000000001</v>
      </c>
      <c r="AE38" s="91">
        <f t="shared" ref="AE38:AE70" si="6">AC38-AD38</f>
        <v>8.7883062000018164E-3</v>
      </c>
      <c r="AF38" s="157">
        <f t="shared" ref="AF38:AF44" si="7">AD38/AC38</f>
        <v>0.96681006678080506</v>
      </c>
      <c r="AG38" s="258" t="s">
        <v>410</v>
      </c>
      <c r="AH38" s="393"/>
      <c r="AI38" s="386"/>
      <c r="AJ38" s="386"/>
      <c r="AK38" s="386"/>
      <c r="AL38" s="386"/>
      <c r="AM38" s="389"/>
      <c r="AO38" s="423"/>
      <c r="AP38" s="382"/>
      <c r="AQ38" s="380"/>
      <c r="AR38" s="86" t="s">
        <v>14</v>
      </c>
      <c r="AS38" s="54">
        <v>1.5542385299999999E-2</v>
      </c>
      <c r="AT38" s="91">
        <f>$U$31*AS38</f>
        <v>22.256695749599999</v>
      </c>
      <c r="AU38" s="307"/>
      <c r="AV38" s="91">
        <f>AT38+AU38+AX37</f>
        <v>35.428777531899996</v>
      </c>
      <c r="AW38" s="69">
        <v>31.478000000000002</v>
      </c>
      <c r="AX38" s="91">
        <f t="shared" si="2"/>
        <v>3.9507775318999947</v>
      </c>
      <c r="AY38" s="143">
        <f t="shared" si="3"/>
        <v>0.88848676677193494</v>
      </c>
      <c r="AZ38" s="280" t="s">
        <v>410</v>
      </c>
      <c r="BA38" s="385"/>
      <c r="BB38" s="384"/>
      <c r="BC38" s="384"/>
      <c r="BD38" s="384"/>
      <c r="BE38" s="384"/>
      <c r="BF38" s="376"/>
      <c r="BG38" s="430"/>
      <c r="BI38" s="458"/>
      <c r="BJ38" s="381"/>
      <c r="BK38" s="378"/>
      <c r="BL38" s="86" t="s">
        <v>14</v>
      </c>
      <c r="BM38" s="68">
        <v>2.0576755999999999E-3</v>
      </c>
      <c r="BN38" s="112">
        <f>$U$31*BM38</f>
        <v>2.9465914592</v>
      </c>
      <c r="BO38" s="303"/>
      <c r="BP38" s="91">
        <f>BN38+BO38+BR37</f>
        <v>7.1802613787999992</v>
      </c>
      <c r="BQ38" s="69">
        <v>7.1420000000000003</v>
      </c>
      <c r="BR38" s="91">
        <f t="shared" ref="BR38:BR66" si="8">BP38-BQ38</f>
        <v>3.8261378799998802E-2</v>
      </c>
      <c r="BS38" s="143">
        <f t="shared" si="4"/>
        <v>0.99467131114293872</v>
      </c>
      <c r="BT38" s="297" t="s">
        <v>410</v>
      </c>
      <c r="BU38" s="375"/>
      <c r="BV38" s="371"/>
      <c r="BW38" s="371"/>
      <c r="BX38" s="371"/>
      <c r="BY38" s="371"/>
      <c r="BZ38" s="373"/>
    </row>
    <row r="39" spans="2:78" ht="20.100000000000001" customHeight="1" x14ac:dyDescent="0.25">
      <c r="B39" s="494"/>
      <c r="C39" s="448"/>
      <c r="D39" s="438" t="s">
        <v>44</v>
      </c>
      <c r="E39" s="408" t="s">
        <v>216</v>
      </c>
      <c r="F39" s="333" t="s">
        <v>13</v>
      </c>
      <c r="G39" s="75">
        <v>1.22429215E-2</v>
      </c>
      <c r="H39" s="90">
        <f t="shared" ref="H39" si="9">$U$29*G39</f>
        <v>30.4971174565</v>
      </c>
      <c r="I39" s="307">
        <f>-47.99</f>
        <v>-47.99</v>
      </c>
      <c r="J39" s="91">
        <f>H39+I39</f>
        <v>-17.492882543500002</v>
      </c>
      <c r="K39" s="69">
        <v>3.9E-2</v>
      </c>
      <c r="L39" s="91">
        <f t="shared" si="5"/>
        <v>-17.531882543500004</v>
      </c>
      <c r="M39" s="143">
        <v>0</v>
      </c>
      <c r="N39" s="383">
        <v>43166</v>
      </c>
      <c r="O39" s="406">
        <f>H39+H40</f>
        <v>48.0289810445</v>
      </c>
      <c r="P39" s="405">
        <f t="shared" ref="P39" si="10">I39+I40</f>
        <v>-47.99</v>
      </c>
      <c r="Q39" s="402">
        <f t="shared" ref="Q39" si="11">O39+P39</f>
        <v>3.8981044499998063E-2</v>
      </c>
      <c r="R39" s="404">
        <f t="shared" ref="R39" si="12">K39+K40</f>
        <v>3.9E-2</v>
      </c>
      <c r="S39" s="402">
        <f t="shared" ref="S39" si="13">Q39-R39</f>
        <v>-1.8955500001936743E-5</v>
      </c>
      <c r="T39" s="395">
        <v>1</v>
      </c>
      <c r="V39" s="400"/>
      <c r="W39" s="379" t="s">
        <v>45</v>
      </c>
      <c r="X39" s="379">
        <v>4410</v>
      </c>
      <c r="Y39" s="100" t="s">
        <v>13</v>
      </c>
      <c r="Z39" s="75">
        <v>9.2118057000000007E-3</v>
      </c>
      <c r="AA39" s="91">
        <f>$U$29*Z39</f>
        <v>22.946607998700003</v>
      </c>
      <c r="AB39" s="307">
        <f>-22.947</f>
        <v>-22.946999999999999</v>
      </c>
      <c r="AC39" s="91">
        <f>AA39+AB39</f>
        <v>-3.9200129999628075E-4</v>
      </c>
      <c r="AD39" s="69"/>
      <c r="AE39" s="91">
        <f t="shared" si="6"/>
        <v>-3.9200129999628075E-4</v>
      </c>
      <c r="AF39" s="143">
        <f t="shared" si="7"/>
        <v>0</v>
      </c>
      <c r="AG39" s="269">
        <v>43154</v>
      </c>
      <c r="AH39" s="393">
        <f t="shared" ref="AH39" si="14">AA39+AA40</f>
        <v>36.137913761100002</v>
      </c>
      <c r="AI39" s="386">
        <f t="shared" ref="AI39" si="15">AB39+AB40</f>
        <v>-36.137999999999998</v>
      </c>
      <c r="AJ39" s="386">
        <f t="shared" ref="AJ39" si="16">AH39+AI39</f>
        <v>-8.6238899996260443E-5</v>
      </c>
      <c r="AK39" s="386">
        <f t="shared" ref="AK39" si="17">AD39+AD40</f>
        <v>0</v>
      </c>
      <c r="AL39" s="386">
        <f t="shared" ref="AL39" si="18">AJ39-AK39</f>
        <v>-8.6238899996260443E-5</v>
      </c>
      <c r="AM39" s="389">
        <f t="shared" ref="AM39" si="19">AK39/AJ39</f>
        <v>0</v>
      </c>
      <c r="AO39" s="423"/>
      <c r="AP39" s="382" t="s">
        <v>46</v>
      </c>
      <c r="AQ39" s="379" t="s">
        <v>257</v>
      </c>
      <c r="AR39" s="86" t="s">
        <v>13</v>
      </c>
      <c r="AS39" s="68">
        <v>1.3424028500000001E-2</v>
      </c>
      <c r="AT39" s="91">
        <f>$U$29*AS39</f>
        <v>33.439254993500001</v>
      </c>
      <c r="AU39" s="307">
        <f>-33.439</f>
        <v>-33.439</v>
      </c>
      <c r="AV39" s="91">
        <f>AT39+AU39</f>
        <v>2.5499350000046661E-4</v>
      </c>
      <c r="AW39" s="69"/>
      <c r="AX39" s="91">
        <f>AV39-AW39</f>
        <v>2.5499350000046661E-4</v>
      </c>
      <c r="AY39" s="143">
        <f>AW39/AV39</f>
        <v>0</v>
      </c>
      <c r="AZ39" s="281">
        <v>43166</v>
      </c>
      <c r="BA39" s="385">
        <f t="shared" ref="BA39" si="20">AT39+AT40</f>
        <v>52.662463805500003</v>
      </c>
      <c r="BB39" s="384">
        <f t="shared" ref="BB39" si="21">AU39+AU40</f>
        <v>-51.721000000000004</v>
      </c>
      <c r="BC39" s="384">
        <f t="shared" ref="BC39" si="22">BA39-BB39</f>
        <v>104.38346380550001</v>
      </c>
      <c r="BD39" s="384">
        <f t="shared" ref="BD39" si="23">AW39+AW40</f>
        <v>0</v>
      </c>
      <c r="BE39" s="384">
        <f t="shared" ref="BE39" si="24">BC39-BD39</f>
        <v>104.38346380550001</v>
      </c>
      <c r="BF39" s="376">
        <f t="shared" ref="BF39" si="25">BD39/BC39</f>
        <v>0</v>
      </c>
      <c r="BG39" s="233"/>
      <c r="BI39" s="458"/>
      <c r="BJ39" s="381" t="s">
        <v>388</v>
      </c>
      <c r="BK39" s="421" t="s">
        <v>387</v>
      </c>
      <c r="BL39" s="86" t="s">
        <v>13</v>
      </c>
      <c r="BM39" s="68">
        <v>2.02514905E-2</v>
      </c>
      <c r="BN39" s="112">
        <f>$U$29*BM39</f>
        <v>50.4464628355</v>
      </c>
      <c r="BO39" s="307">
        <f>-47.946</f>
        <v>-47.945999999999998</v>
      </c>
      <c r="BP39" s="91">
        <f>BN39+BO39</f>
        <v>2.5004628355000023</v>
      </c>
      <c r="BQ39" s="69">
        <v>6.6829999999999998</v>
      </c>
      <c r="BR39" s="91">
        <f t="shared" si="8"/>
        <v>-4.1825371644999976</v>
      </c>
      <c r="BS39" s="143">
        <f t="shared" si="4"/>
        <v>2.6727051908626511</v>
      </c>
      <c r="BT39" s="260">
        <v>43167</v>
      </c>
      <c r="BU39" s="374">
        <f t="shared" ref="BU39" si="26">BN39+BN40</f>
        <v>79.446597231499993</v>
      </c>
      <c r="BV39" s="370">
        <f t="shared" ref="BV39" si="27">BO39+BO40</f>
        <v>-57.863</v>
      </c>
      <c r="BW39" s="370">
        <f t="shared" ref="BW39" si="28">BU39+BV39</f>
        <v>21.583597231499994</v>
      </c>
      <c r="BX39" s="370">
        <f t="shared" ref="BX39" si="29">BQ39+BQ40</f>
        <v>20.966000000000001</v>
      </c>
      <c r="BY39" s="370">
        <f t="shared" ref="BY39" si="30">BW39-BX39</f>
        <v>0.61759723149999246</v>
      </c>
      <c r="BZ39" s="372">
        <f t="shared" ref="BZ39" si="31">BX39/BW39</f>
        <v>0.97138580631968774</v>
      </c>
    </row>
    <row r="40" spans="2:78" ht="24.75" customHeight="1" thickBot="1" x14ac:dyDescent="0.3">
      <c r="B40" s="494"/>
      <c r="C40" s="448"/>
      <c r="D40" s="439"/>
      <c r="E40" s="409"/>
      <c r="F40" s="333" t="s">
        <v>14</v>
      </c>
      <c r="G40" s="75">
        <v>1.22429215E-2</v>
      </c>
      <c r="H40" s="90">
        <f t="shared" ref="H40" si="32">$U$31*G40</f>
        <v>17.531863588</v>
      </c>
      <c r="I40" s="307"/>
      <c r="J40" s="91">
        <f>H40+I40+L39</f>
        <v>-1.8955500003414727E-5</v>
      </c>
      <c r="K40" s="69"/>
      <c r="L40" s="91">
        <f t="shared" si="5"/>
        <v>-1.8955500003414727E-5</v>
      </c>
      <c r="M40" s="143">
        <f>K40/J40</f>
        <v>0</v>
      </c>
      <c r="N40" s="383"/>
      <c r="O40" s="407"/>
      <c r="P40" s="403"/>
      <c r="Q40" s="403"/>
      <c r="R40" s="403"/>
      <c r="S40" s="403"/>
      <c r="T40" s="396"/>
      <c r="U40" s="46"/>
      <c r="V40" s="400"/>
      <c r="W40" s="380"/>
      <c r="X40" s="380"/>
      <c r="Y40" s="85" t="s">
        <v>14</v>
      </c>
      <c r="Z40" s="75">
        <v>9.2118057000000007E-3</v>
      </c>
      <c r="AA40" s="91">
        <f>$U$31*Z40</f>
        <v>13.191305762400001</v>
      </c>
      <c r="AB40" s="307">
        <f>-13.191</f>
        <v>-13.191000000000001</v>
      </c>
      <c r="AC40" s="91">
        <f>AA40+AB40+AE39</f>
        <v>-8.6238899996260443E-5</v>
      </c>
      <c r="AD40" s="69"/>
      <c r="AE40" s="91">
        <f t="shared" si="6"/>
        <v>-8.6238899996260443E-5</v>
      </c>
      <c r="AF40" s="143">
        <f t="shared" si="7"/>
        <v>0</v>
      </c>
      <c r="AG40" s="270">
        <v>43166</v>
      </c>
      <c r="AH40" s="393"/>
      <c r="AI40" s="386"/>
      <c r="AJ40" s="386"/>
      <c r="AK40" s="386"/>
      <c r="AL40" s="386"/>
      <c r="AM40" s="389"/>
      <c r="AO40" s="423"/>
      <c r="AP40" s="382"/>
      <c r="AQ40" s="380"/>
      <c r="AR40" s="86" t="s">
        <v>14</v>
      </c>
      <c r="AS40" s="68">
        <v>1.3424028500000001E-2</v>
      </c>
      <c r="AT40" s="91">
        <f>$U$31*AS40</f>
        <v>19.223208812000003</v>
      </c>
      <c r="AU40" s="307">
        <f>-18.282</f>
        <v>-18.282</v>
      </c>
      <c r="AV40" s="91">
        <f>AT40+AU40+AX39</f>
        <v>0.9414638055000033</v>
      </c>
      <c r="AW40" s="69"/>
      <c r="AX40" s="91">
        <f>AV40-AW40</f>
        <v>0.9414638055000033</v>
      </c>
      <c r="AY40" s="143">
        <f>AW40/AV40</f>
        <v>0</v>
      </c>
      <c r="AZ40" s="280" t="s">
        <v>410</v>
      </c>
      <c r="BA40" s="385"/>
      <c r="BB40" s="384"/>
      <c r="BC40" s="384"/>
      <c r="BD40" s="384"/>
      <c r="BE40" s="384"/>
      <c r="BF40" s="376"/>
      <c r="BG40" s="233"/>
      <c r="BI40" s="458"/>
      <c r="BJ40" s="381"/>
      <c r="BK40" s="378"/>
      <c r="BL40" s="86" t="s">
        <v>14</v>
      </c>
      <c r="BM40" s="68">
        <v>2.02514905E-2</v>
      </c>
      <c r="BN40" s="112">
        <f>$U$31*BM40</f>
        <v>29.000134396</v>
      </c>
      <c r="BO40" s="307">
        <f>-5.486-4.431</f>
        <v>-9.9169999999999998</v>
      </c>
      <c r="BP40" s="91">
        <f>BN40+BO40+BR39</f>
        <v>14.900597231500001</v>
      </c>
      <c r="BQ40" s="69">
        <v>14.282999999999999</v>
      </c>
      <c r="BR40" s="91">
        <f t="shared" si="8"/>
        <v>0.61759723150000134</v>
      </c>
      <c r="BS40" s="143">
        <f t="shared" si="4"/>
        <v>0.95855218271423415</v>
      </c>
      <c r="BT40" s="298" t="s">
        <v>410</v>
      </c>
      <c r="BU40" s="375"/>
      <c r="BV40" s="371"/>
      <c r="BW40" s="371"/>
      <c r="BX40" s="371"/>
      <c r="BY40" s="371"/>
      <c r="BZ40" s="373"/>
    </row>
    <row r="41" spans="2:78" ht="20.25" customHeight="1" x14ac:dyDescent="0.25">
      <c r="B41" s="494"/>
      <c r="C41" s="448"/>
      <c r="D41" s="443" t="s">
        <v>47</v>
      </c>
      <c r="E41" s="410" t="s">
        <v>217</v>
      </c>
      <c r="F41" s="333" t="s">
        <v>13</v>
      </c>
      <c r="G41" s="96">
        <v>4.0591379999999999E-4</v>
      </c>
      <c r="H41" s="90">
        <f t="shared" ref="H41" si="33">$U$29*G41</f>
        <v>1.0111312758</v>
      </c>
      <c r="I41" s="307"/>
      <c r="J41" s="91">
        <f>H41+I41</f>
        <v>1.0111312758</v>
      </c>
      <c r="K41" s="69">
        <v>1.194</v>
      </c>
      <c r="L41" s="91">
        <f t="shared" si="5"/>
        <v>-0.1828687242</v>
      </c>
      <c r="M41" s="143">
        <f>K41/J41</f>
        <v>1.1808555709596813</v>
      </c>
      <c r="N41" s="383">
        <v>43166</v>
      </c>
      <c r="O41" s="406">
        <f>H41+H42</f>
        <v>1.5923998373999999</v>
      </c>
      <c r="P41" s="405">
        <f t="shared" ref="P41" si="34">I41+I42</f>
        <v>0</v>
      </c>
      <c r="Q41" s="402">
        <f t="shared" ref="Q41" si="35">O41+P41</f>
        <v>1.5923998373999999</v>
      </c>
      <c r="R41" s="404">
        <f t="shared" ref="R41" si="36">K41+K42</f>
        <v>1.583</v>
      </c>
      <c r="S41" s="402">
        <f t="shared" ref="S41" si="37">Q41-R41</f>
        <v>9.3998373999999441E-3</v>
      </c>
      <c r="T41" s="395">
        <f t="shared" ref="T41" si="38">R41/Q41</f>
        <v>0.99409706206994619</v>
      </c>
      <c r="V41" s="400"/>
      <c r="W41" s="379" t="s">
        <v>48</v>
      </c>
      <c r="X41" s="379">
        <v>4313</v>
      </c>
      <c r="Y41" s="100" t="s">
        <v>13</v>
      </c>
      <c r="Z41" s="75">
        <v>8.0575730999999998E-3</v>
      </c>
      <c r="AA41" s="91">
        <f>$U$29*Z41</f>
        <v>20.071414592099998</v>
      </c>
      <c r="AB41" s="307">
        <f>-20.071</f>
        <v>-20.071000000000002</v>
      </c>
      <c r="AC41" s="91">
        <f>AA41+AB41</f>
        <v>4.1459209999672453E-4</v>
      </c>
      <c r="AD41" s="69"/>
      <c r="AE41" s="91">
        <f t="shared" si="6"/>
        <v>4.1459209999672453E-4</v>
      </c>
      <c r="AF41" s="143">
        <f t="shared" si="7"/>
        <v>0</v>
      </c>
      <c r="AG41" s="455">
        <v>43166</v>
      </c>
      <c r="AH41" s="393">
        <f t="shared" ref="AH41" si="39">AA41+AA42</f>
        <v>31.609859271299996</v>
      </c>
      <c r="AI41" s="386">
        <f t="shared" ref="AI41" si="40">AB41+AB42</f>
        <v>-27.614000000000001</v>
      </c>
      <c r="AJ41" s="386">
        <f t="shared" ref="AJ41" si="41">AH41+AI41</f>
        <v>3.9958592712999952</v>
      </c>
      <c r="AK41" s="386">
        <f t="shared" ref="AK41" si="42">AD41+AD42</f>
        <v>3.8889999999999998</v>
      </c>
      <c r="AL41" s="386">
        <f t="shared" ref="AL41" si="43">AJ41-AK41</f>
        <v>0.1068592712999954</v>
      </c>
      <c r="AM41" s="389">
        <f t="shared" ref="AM41" si="44">AK41/AJ41</f>
        <v>0.97325749881445889</v>
      </c>
      <c r="AO41" s="423"/>
      <c r="AP41" s="382" t="s">
        <v>49</v>
      </c>
      <c r="AQ41" s="379" t="s">
        <v>258</v>
      </c>
      <c r="AR41" s="86" t="s">
        <v>13</v>
      </c>
      <c r="AS41" s="54">
        <v>2.4624648E-3</v>
      </c>
      <c r="AT41" s="91">
        <f>$U$29*AS41</f>
        <v>6.1339998168000003</v>
      </c>
      <c r="AU41" s="307"/>
      <c r="AV41" s="91">
        <f>AT41+AU41</f>
        <v>6.1339998168000003</v>
      </c>
      <c r="AW41" s="69"/>
      <c r="AX41" s="91">
        <f t="shared" si="2"/>
        <v>6.1339998168000003</v>
      </c>
      <c r="AY41" s="143">
        <f t="shared" si="3"/>
        <v>0</v>
      </c>
      <c r="AZ41" s="282" t="s">
        <v>410</v>
      </c>
      <c r="BA41" s="385">
        <f t="shared" ref="BA41" si="45">AT41+AT42</f>
        <v>9.6602494104000005</v>
      </c>
      <c r="BB41" s="384">
        <f t="shared" ref="BB41" si="46">AU41+AU42</f>
        <v>0</v>
      </c>
      <c r="BC41" s="384">
        <f t="shared" ref="BC41" si="47">BA41-BB41</f>
        <v>9.6602494104000005</v>
      </c>
      <c r="BD41" s="384">
        <f t="shared" ref="BD41" si="48">AW41+AW42</f>
        <v>10</v>
      </c>
      <c r="BE41" s="384">
        <f t="shared" ref="BE41" si="49">BC41-BD41</f>
        <v>-0.33975058959999949</v>
      </c>
      <c r="BF41" s="376">
        <f t="shared" ref="BF41" si="50">BD41/BC41</f>
        <v>1.0351699604395548</v>
      </c>
      <c r="BG41" s="233"/>
      <c r="BI41" s="458"/>
      <c r="BJ41" s="381" t="s">
        <v>50</v>
      </c>
      <c r="BK41" s="377" t="s">
        <v>268</v>
      </c>
      <c r="BL41" s="86" t="s">
        <v>51</v>
      </c>
      <c r="BM41" s="68">
        <v>1.9725258700000001E-2</v>
      </c>
      <c r="BN41" s="112">
        <f>$U$29*BM41</f>
        <v>49.135619421700007</v>
      </c>
      <c r="BO41" s="307">
        <f>-49.136</f>
        <v>-49.136000000000003</v>
      </c>
      <c r="BP41" s="91">
        <f>BN41+BO41</f>
        <v>-3.8057829999615933E-4</v>
      </c>
      <c r="BQ41" s="69"/>
      <c r="BR41" s="91">
        <f>BP41-BQ41</f>
        <v>-3.8057829999615933E-4</v>
      </c>
      <c r="BS41" s="143">
        <f>BQ41/BP41</f>
        <v>0</v>
      </c>
      <c r="BT41" s="260">
        <v>43166</v>
      </c>
      <c r="BU41" s="374">
        <f t="shared" ref="BU41" si="51">BN41+BN42</f>
        <v>77.382189880100015</v>
      </c>
      <c r="BV41" s="370">
        <f t="shared" ref="BV41" si="52">BO41+BO42</f>
        <v>-73.585999999999999</v>
      </c>
      <c r="BW41" s="370">
        <f t="shared" ref="BW41" si="53">BU41+BV41</f>
        <v>3.796189880100016</v>
      </c>
      <c r="BX41" s="370">
        <f t="shared" ref="BX41" si="54">BQ41+BQ42</f>
        <v>1.5780000000000001</v>
      </c>
      <c r="BY41" s="370">
        <f t="shared" ref="BY41" si="55">BW41-BX41</f>
        <v>2.2181898801000157</v>
      </c>
      <c r="BZ41" s="372">
        <f t="shared" ref="BZ41" si="56">BX41/BW41</f>
        <v>0.41567994484997295</v>
      </c>
    </row>
    <row r="42" spans="2:78" ht="24" customHeight="1" thickBot="1" x14ac:dyDescent="0.3">
      <c r="B42" s="494"/>
      <c r="C42" s="448"/>
      <c r="D42" s="444"/>
      <c r="E42" s="411"/>
      <c r="F42" s="333" t="s">
        <v>14</v>
      </c>
      <c r="G42" s="96">
        <v>4.0591379999999999E-4</v>
      </c>
      <c r="H42" s="90">
        <f t="shared" ref="H42" si="57">$U$31*G42</f>
        <v>0.58126856159999996</v>
      </c>
      <c r="I42" s="307"/>
      <c r="J42" s="91">
        <f>H42+I42+L41</f>
        <v>0.39839983739999996</v>
      </c>
      <c r="K42" s="69">
        <v>0.38900000000000001</v>
      </c>
      <c r="L42" s="91">
        <f t="shared" si="5"/>
        <v>9.3998373999999441E-3</v>
      </c>
      <c r="M42" s="143">
        <f t="shared" ref="M42:M101" si="58">K42/J42</f>
        <v>0.97640602099301976</v>
      </c>
      <c r="N42" s="383"/>
      <c r="O42" s="407"/>
      <c r="P42" s="403"/>
      <c r="Q42" s="403"/>
      <c r="R42" s="403"/>
      <c r="S42" s="403"/>
      <c r="T42" s="396"/>
      <c r="U42" s="46"/>
      <c r="V42" s="400"/>
      <c r="W42" s="380"/>
      <c r="X42" s="380"/>
      <c r="Y42" s="85" t="s">
        <v>14</v>
      </c>
      <c r="Z42" s="75">
        <v>8.0575730999999998E-3</v>
      </c>
      <c r="AA42" s="91">
        <f>$U$31*Z42</f>
        <v>11.538444679199999</v>
      </c>
      <c r="AB42" s="307">
        <f>-1.318-6.225</f>
        <v>-7.5429999999999993</v>
      </c>
      <c r="AC42" s="91">
        <f>AA42+AB42+AE41</f>
        <v>3.995859271299997</v>
      </c>
      <c r="AD42" s="69">
        <v>3.8889999999999998</v>
      </c>
      <c r="AE42" s="91">
        <f t="shared" si="6"/>
        <v>0.10685927129999717</v>
      </c>
      <c r="AF42" s="143">
        <f t="shared" si="7"/>
        <v>0.97325749881445844</v>
      </c>
      <c r="AG42" s="475"/>
      <c r="AH42" s="393"/>
      <c r="AI42" s="386"/>
      <c r="AJ42" s="386"/>
      <c r="AK42" s="386"/>
      <c r="AL42" s="386"/>
      <c r="AM42" s="389"/>
      <c r="AO42" s="423"/>
      <c r="AP42" s="382"/>
      <c r="AQ42" s="380"/>
      <c r="AR42" s="86" t="s">
        <v>14</v>
      </c>
      <c r="AS42" s="54">
        <v>2.4624648E-3</v>
      </c>
      <c r="AT42" s="91">
        <f>$U$31*AS42</f>
        <v>3.5262495935999998</v>
      </c>
      <c r="AU42" s="307"/>
      <c r="AV42" s="91">
        <f>AT42+AU42+AX41</f>
        <v>9.6602494104000005</v>
      </c>
      <c r="AW42" s="69">
        <v>10</v>
      </c>
      <c r="AX42" s="91">
        <f t="shared" si="2"/>
        <v>-0.33975058959999949</v>
      </c>
      <c r="AY42" s="143">
        <f t="shared" si="3"/>
        <v>1.0351699604395548</v>
      </c>
      <c r="AZ42" s="282" t="s">
        <v>410</v>
      </c>
      <c r="BA42" s="385"/>
      <c r="BB42" s="384"/>
      <c r="BC42" s="384"/>
      <c r="BD42" s="384"/>
      <c r="BE42" s="384"/>
      <c r="BF42" s="376"/>
      <c r="BG42" s="233"/>
      <c r="BI42" s="458"/>
      <c r="BJ42" s="381"/>
      <c r="BK42" s="378"/>
      <c r="BL42" s="86" t="s">
        <v>52</v>
      </c>
      <c r="BM42" s="68">
        <v>1.9725258700000001E-2</v>
      </c>
      <c r="BN42" s="112">
        <f>$U$31*BM42</f>
        <v>28.246570458400001</v>
      </c>
      <c r="BO42" s="307">
        <f>-24.45</f>
        <v>-24.45</v>
      </c>
      <c r="BP42" s="91">
        <f>BN42+BO42+BR41</f>
        <v>3.7961898801000054</v>
      </c>
      <c r="BQ42" s="69">
        <v>1.5780000000000001</v>
      </c>
      <c r="BR42" s="91">
        <f>BP42-BQ42</f>
        <v>2.2181898801000051</v>
      </c>
      <c r="BS42" s="143">
        <f>BQ42/BP42</f>
        <v>0.41567994484997411</v>
      </c>
      <c r="BT42" s="297" t="s">
        <v>410</v>
      </c>
      <c r="BU42" s="375"/>
      <c r="BV42" s="371"/>
      <c r="BW42" s="371"/>
      <c r="BX42" s="371"/>
      <c r="BY42" s="371"/>
      <c r="BZ42" s="373"/>
    </row>
    <row r="43" spans="2:78" ht="20.25" customHeight="1" x14ac:dyDescent="0.25">
      <c r="B43" s="494"/>
      <c r="C43" s="448"/>
      <c r="D43" s="438" t="s">
        <v>425</v>
      </c>
      <c r="E43" s="408" t="s">
        <v>426</v>
      </c>
      <c r="F43" s="333" t="s">
        <v>13</v>
      </c>
      <c r="G43" s="75">
        <v>6.4659199999999998E-4</v>
      </c>
      <c r="H43" s="90">
        <f t="shared" ref="H43" si="59">$U$29*G43</f>
        <v>1.6106606719999998</v>
      </c>
      <c r="I43" s="307"/>
      <c r="J43" s="91">
        <f>H43+I43</f>
        <v>1.6106606719999998</v>
      </c>
      <c r="K43" s="69">
        <v>0.26700000000000002</v>
      </c>
      <c r="L43" s="91">
        <f t="shared" si="5"/>
        <v>1.3436606719999999</v>
      </c>
      <c r="M43" s="143">
        <f t="shared" si="58"/>
        <v>0.16577048452326029</v>
      </c>
      <c r="N43" s="383">
        <v>43206</v>
      </c>
      <c r="O43" s="406">
        <f t="shared" ref="O43" si="60">H43+H44</f>
        <v>2.5365804159999996</v>
      </c>
      <c r="P43" s="405">
        <f t="shared" ref="P43" si="61">I43+I44</f>
        <v>-2.27</v>
      </c>
      <c r="Q43" s="402">
        <f t="shared" ref="Q43" si="62">O43+P43</f>
        <v>0.2665804159999996</v>
      </c>
      <c r="R43" s="404">
        <f t="shared" ref="R43" si="63">K43+K44</f>
        <v>0.26700000000000002</v>
      </c>
      <c r="S43" s="402">
        <f t="shared" ref="S43" si="64">Q43-R43</f>
        <v>-4.1958400000041696E-4</v>
      </c>
      <c r="T43" s="395">
        <f t="shared" ref="T43" si="65">R43/Q43</f>
        <v>1.0015739490780913</v>
      </c>
      <c r="V43" s="400"/>
      <c r="W43" s="379" t="s">
        <v>53</v>
      </c>
      <c r="X43" s="379" t="s">
        <v>245</v>
      </c>
      <c r="Y43" s="100" t="s">
        <v>13</v>
      </c>
      <c r="Z43" s="75">
        <v>1.2828120599999999E-2</v>
      </c>
      <c r="AA43" s="91">
        <f>$U$29*Z43</f>
        <v>31.954848414599997</v>
      </c>
      <c r="AB43" s="2">
        <f>-31.955</f>
        <v>-31.954999999999998</v>
      </c>
      <c r="AC43" s="91">
        <f>AA43+AB43</f>
        <v>-1.5158540000115295E-4</v>
      </c>
      <c r="AD43" s="69"/>
      <c r="AE43" s="91">
        <f t="shared" si="6"/>
        <v>-1.5158540000115295E-4</v>
      </c>
      <c r="AF43" s="143">
        <f t="shared" si="7"/>
        <v>0</v>
      </c>
      <c r="AG43" s="269">
        <v>43166</v>
      </c>
      <c r="AH43" s="393">
        <f t="shared" ref="AH43" si="66">AA43+AA44</f>
        <v>50.324717113799991</v>
      </c>
      <c r="AI43" s="386">
        <f t="shared" ref="AI43" si="67">AB43+AB44</f>
        <v>-50.325000000000003</v>
      </c>
      <c r="AJ43" s="386">
        <f t="shared" ref="AJ43" si="68">AH43+AI43</f>
        <v>-2.8288620001148956E-4</v>
      </c>
      <c r="AK43" s="386">
        <f t="shared" ref="AK43" si="69">AD43+AD44</f>
        <v>0</v>
      </c>
      <c r="AL43" s="386">
        <f t="shared" ref="AL43" si="70">AJ43-AK43</f>
        <v>-2.8288620001148956E-4</v>
      </c>
      <c r="AM43" s="389">
        <f t="shared" ref="AM43" si="71">AK43/AJ43</f>
        <v>0</v>
      </c>
      <c r="AO43" s="423"/>
      <c r="AP43" s="382" t="s">
        <v>54</v>
      </c>
      <c r="AQ43" s="379" t="s">
        <v>259</v>
      </c>
      <c r="AR43" s="86" t="s">
        <v>13</v>
      </c>
      <c r="AS43" s="68">
        <v>2.4172300599999998E-2</v>
      </c>
      <c r="AT43" s="91">
        <f>$U$29*AS43</f>
        <v>60.213200794599999</v>
      </c>
      <c r="AU43" s="307">
        <f>-89.903</f>
        <v>-89.903000000000006</v>
      </c>
      <c r="AV43" s="91">
        <f>AT43+AU43</f>
        <v>-29.689799205400007</v>
      </c>
      <c r="AW43" s="69">
        <v>1.359</v>
      </c>
      <c r="AX43" s="91">
        <f t="shared" si="2"/>
        <v>-31.048799205400009</v>
      </c>
      <c r="AY43" s="143">
        <f t="shared" si="3"/>
        <v>-4.577329710444198E-2</v>
      </c>
      <c r="AZ43" s="281">
        <v>43179</v>
      </c>
      <c r="BA43" s="385">
        <f t="shared" ref="BA43" si="72">AT43+AT44</f>
        <v>94.827935253800007</v>
      </c>
      <c r="BB43" s="384">
        <f t="shared" ref="BB43" si="73">AU43+AU44</f>
        <v>-91.190000000000012</v>
      </c>
      <c r="BC43" s="384">
        <f t="shared" ref="BC43" si="74">BA43-BB43</f>
        <v>186.01793525380003</v>
      </c>
      <c r="BD43" s="384">
        <f t="shared" ref="BD43" si="75">AW43+AW44</f>
        <v>3.6379999999999999</v>
      </c>
      <c r="BE43" s="384">
        <f t="shared" ref="BE43" si="76">BC43-BD43</f>
        <v>182.37993525380003</v>
      </c>
      <c r="BF43" s="376">
        <f t="shared" ref="BF43" si="77">BD43/BC43</f>
        <v>1.9557253955304731E-2</v>
      </c>
      <c r="BG43" s="233"/>
      <c r="BI43" s="458"/>
      <c r="BJ43" s="381" t="s">
        <v>55</v>
      </c>
      <c r="BK43" s="377" t="s">
        <v>269</v>
      </c>
      <c r="BL43" s="86" t="s">
        <v>13</v>
      </c>
      <c r="BM43" s="68">
        <v>2.93809311E-2</v>
      </c>
      <c r="BN43" s="112">
        <v>115.26</v>
      </c>
      <c r="BO43" s="307">
        <v>-99.486000000000004</v>
      </c>
      <c r="BP43" s="91">
        <f>BN43+BO43</f>
        <v>15.774000000000001</v>
      </c>
      <c r="BQ43" s="69">
        <v>3.5760000000000001</v>
      </c>
      <c r="BR43" s="91">
        <f t="shared" si="8"/>
        <v>12.198</v>
      </c>
      <c r="BS43" s="143">
        <f t="shared" si="4"/>
        <v>0.22670216812476227</v>
      </c>
      <c r="BT43" s="297" t="s">
        <v>410</v>
      </c>
      <c r="BU43" s="374">
        <f t="shared" ref="BU43" si="78">BN43+BN44</f>
        <v>115.26100000000001</v>
      </c>
      <c r="BV43" s="370">
        <f t="shared" ref="BV43" si="79">BO43+BO44</f>
        <v>-99.486000000000004</v>
      </c>
      <c r="BW43" s="370">
        <f t="shared" ref="BW43" si="80">BU43+BV43</f>
        <v>15.775000000000006</v>
      </c>
      <c r="BX43" s="370">
        <f t="shared" ref="BX43" si="81">BQ43+BQ44</f>
        <v>13.582000000000001</v>
      </c>
      <c r="BY43" s="370">
        <f t="shared" ref="BY43" si="82">BW43-BX43</f>
        <v>2.1930000000000049</v>
      </c>
      <c r="BZ43" s="372">
        <f t="shared" ref="BZ43" si="83">BX43/BW43</f>
        <v>0.86098256735340706</v>
      </c>
    </row>
    <row r="44" spans="2:78" ht="26.25" customHeight="1" thickBot="1" x14ac:dyDescent="0.3">
      <c r="B44" s="494"/>
      <c r="C44" s="448"/>
      <c r="D44" s="439"/>
      <c r="E44" s="409"/>
      <c r="F44" s="333" t="s">
        <v>14</v>
      </c>
      <c r="G44" s="75">
        <v>6.4659199999999998E-4</v>
      </c>
      <c r="H44" s="90">
        <f t="shared" ref="H44" si="84">$U$31*G44</f>
        <v>0.92591974399999999</v>
      </c>
      <c r="I44" s="307">
        <f>-2.27</f>
        <v>-2.27</v>
      </c>
      <c r="J44" s="91">
        <f>H44+I44+L43</f>
        <v>-4.1958400000008389E-4</v>
      </c>
      <c r="K44" s="69"/>
      <c r="L44" s="91">
        <f t="shared" si="5"/>
        <v>-4.1958400000008389E-4</v>
      </c>
      <c r="M44" s="143">
        <f t="shared" si="58"/>
        <v>0</v>
      </c>
      <c r="N44" s="383"/>
      <c r="O44" s="407"/>
      <c r="P44" s="403"/>
      <c r="Q44" s="403"/>
      <c r="R44" s="403"/>
      <c r="S44" s="403"/>
      <c r="T44" s="396"/>
      <c r="U44" s="46"/>
      <c r="V44" s="400"/>
      <c r="W44" s="380"/>
      <c r="X44" s="380"/>
      <c r="Y44" s="85" t="s">
        <v>14</v>
      </c>
      <c r="Z44" s="75">
        <v>1.2828120599999999E-2</v>
      </c>
      <c r="AA44" s="91">
        <f>$U$31*Z44</f>
        <v>18.369868699199998</v>
      </c>
      <c r="AB44" s="2">
        <f>-16.634-1.736</f>
        <v>-18.37</v>
      </c>
      <c r="AC44" s="91">
        <f>AA44+AB44+AE43</f>
        <v>-2.8288620000438414E-4</v>
      </c>
      <c r="AD44" s="69"/>
      <c r="AE44" s="91">
        <f t="shared" si="6"/>
        <v>-2.8288620000438414E-4</v>
      </c>
      <c r="AF44" s="143">
        <f t="shared" si="7"/>
        <v>0</v>
      </c>
      <c r="AG44" s="256" t="s">
        <v>410</v>
      </c>
      <c r="AH44" s="393"/>
      <c r="AI44" s="386"/>
      <c r="AJ44" s="386"/>
      <c r="AK44" s="386"/>
      <c r="AL44" s="386"/>
      <c r="AM44" s="389"/>
      <c r="AO44" s="423"/>
      <c r="AP44" s="382"/>
      <c r="AQ44" s="380"/>
      <c r="AR44" s="86" t="s">
        <v>14</v>
      </c>
      <c r="AS44" s="68">
        <v>2.4172300599999998E-2</v>
      </c>
      <c r="AT44" s="91">
        <f>$U$31*AS44</f>
        <v>34.614734459200001</v>
      </c>
      <c r="AU44" s="307">
        <f>-1.287</f>
        <v>-1.2869999999999999</v>
      </c>
      <c r="AV44" s="91">
        <f>AT44+AU44+AX43</f>
        <v>2.2789352537999932</v>
      </c>
      <c r="AW44" s="69">
        <v>2.2789999999999999</v>
      </c>
      <c r="AX44" s="91">
        <f t="shared" si="2"/>
        <v>-6.4746200006737809E-5</v>
      </c>
      <c r="AY44" s="143">
        <f t="shared" si="3"/>
        <v>1.0000284107237793</v>
      </c>
      <c r="AZ44" s="280" t="s">
        <v>410</v>
      </c>
      <c r="BA44" s="385"/>
      <c r="BB44" s="384"/>
      <c r="BC44" s="384"/>
      <c r="BD44" s="384"/>
      <c r="BE44" s="384"/>
      <c r="BF44" s="376"/>
      <c r="BG44" s="233"/>
      <c r="BI44" s="458"/>
      <c r="BJ44" s="381"/>
      <c r="BK44" s="378"/>
      <c r="BL44" s="86" t="s">
        <v>14</v>
      </c>
      <c r="BM44" s="68">
        <v>2.93809311E-2</v>
      </c>
      <c r="BN44" s="112">
        <v>1E-3</v>
      </c>
      <c r="BO44" s="307"/>
      <c r="BP44" s="91">
        <f>BN44+BO44+BR43</f>
        <v>12.199</v>
      </c>
      <c r="BQ44" s="69">
        <v>10.006</v>
      </c>
      <c r="BR44" s="91">
        <f t="shared" si="8"/>
        <v>2.1929999999999996</v>
      </c>
      <c r="BS44" s="143">
        <f t="shared" si="4"/>
        <v>0.82023116648905647</v>
      </c>
      <c r="BT44" s="297" t="s">
        <v>410</v>
      </c>
      <c r="BU44" s="375"/>
      <c r="BV44" s="371"/>
      <c r="BW44" s="371"/>
      <c r="BX44" s="371"/>
      <c r="BY44" s="371"/>
      <c r="BZ44" s="373"/>
    </row>
    <row r="45" spans="2:78" ht="21" customHeight="1" x14ac:dyDescent="0.25">
      <c r="B45" s="494"/>
      <c r="C45" s="448"/>
      <c r="D45" s="443" t="s">
        <v>56</v>
      </c>
      <c r="E45" s="410" t="s">
        <v>218</v>
      </c>
      <c r="F45" s="333" t="s">
        <v>13</v>
      </c>
      <c r="G45" s="73">
        <v>6.8654809999999997E-4</v>
      </c>
      <c r="H45" s="90">
        <f t="shared" ref="H45" si="85">$U$29*G45</f>
        <v>1.7101913170999998</v>
      </c>
      <c r="I45" s="305">
        <f>-0.314</f>
        <v>-0.314</v>
      </c>
      <c r="J45" s="91">
        <f>H45+I45</f>
        <v>1.3961913170999998</v>
      </c>
      <c r="K45" s="69">
        <v>1.9219999999999999</v>
      </c>
      <c r="L45" s="91">
        <f t="shared" si="5"/>
        <v>-0.52580868290000016</v>
      </c>
      <c r="M45" s="143">
        <f t="shared" si="58"/>
        <v>1.3766021722525439</v>
      </c>
      <c r="N45" s="294">
        <v>43236</v>
      </c>
      <c r="O45" s="406">
        <f t="shared" ref="O45" si="86">H45+H46</f>
        <v>2.6933281962999995</v>
      </c>
      <c r="P45" s="405">
        <f t="shared" ref="P45" si="87">I45+I46</f>
        <v>-0.314</v>
      </c>
      <c r="Q45" s="402">
        <f t="shared" ref="Q45" si="88">O45+P45</f>
        <v>2.3793281962999995</v>
      </c>
      <c r="R45" s="404">
        <f t="shared" ref="R45" si="89">K45+K46</f>
        <v>2.3780000000000001</v>
      </c>
      <c r="S45" s="402">
        <f t="shared" ref="S45" si="90">Q45-R45</f>
        <v>1.3281962999993624E-3</v>
      </c>
      <c r="T45" s="395">
        <f t="shared" ref="T45" si="91">R45/Q45</f>
        <v>0.99944177675779877</v>
      </c>
      <c r="V45" s="400"/>
      <c r="W45" s="379" t="s">
        <v>57</v>
      </c>
      <c r="X45" s="379" t="s">
        <v>246</v>
      </c>
      <c r="Y45" s="100" t="s">
        <v>13</v>
      </c>
      <c r="Z45" s="75">
        <v>5.5353395999999996E-3</v>
      </c>
      <c r="AA45" s="91">
        <f>$U$29*Z45</f>
        <v>13.7885309436</v>
      </c>
      <c r="AB45" s="307">
        <f>-13.789</f>
        <v>-13.789</v>
      </c>
      <c r="AC45" s="91">
        <f>AA45+AB45</f>
        <v>-4.6905640000005633E-4</v>
      </c>
      <c r="AD45" s="69"/>
      <c r="AE45" s="91">
        <f>AC45-AD45</f>
        <v>-4.6905640000005633E-4</v>
      </c>
      <c r="AF45" s="143">
        <f>AD45/AC45</f>
        <v>0</v>
      </c>
      <c r="AG45" s="269">
        <v>43154</v>
      </c>
      <c r="AH45" s="393">
        <f t="shared" ref="AH45" si="92">AA45+AA46</f>
        <v>21.715137250799998</v>
      </c>
      <c r="AI45" s="386">
        <f t="shared" ref="AI45" si="93">AB45+AB46</f>
        <v>-21.716000000000001</v>
      </c>
      <c r="AJ45" s="386">
        <f t="shared" ref="AJ45" si="94">AH45+AI45</f>
        <v>-8.6274920000306565E-4</v>
      </c>
      <c r="AK45" s="386">
        <f t="shared" ref="AK45" si="95">AD45+AD46</f>
        <v>0</v>
      </c>
      <c r="AL45" s="386">
        <f t="shared" ref="AL45" si="96">AJ45-AK45</f>
        <v>-8.6274920000306565E-4</v>
      </c>
      <c r="AM45" s="389">
        <f t="shared" ref="AM45" si="97">AK45/AJ45</f>
        <v>0</v>
      </c>
      <c r="AO45" s="423"/>
      <c r="AP45" s="382" t="s">
        <v>58</v>
      </c>
      <c r="AQ45" s="379" t="s">
        <v>260</v>
      </c>
      <c r="AR45" s="86" t="s">
        <v>13</v>
      </c>
      <c r="AS45" s="54">
        <v>1.5918523699999999E-2</v>
      </c>
      <c r="AT45" s="91">
        <f>$U$29*AS45</f>
        <v>39.653042536699999</v>
      </c>
      <c r="AU45" s="312">
        <f>-39.653</f>
        <v>-39.652999999999999</v>
      </c>
      <c r="AV45" s="91">
        <f>AT45+AU45</f>
        <v>4.253670000053944E-5</v>
      </c>
      <c r="AW45" s="69"/>
      <c r="AX45" s="91">
        <f t="shared" si="2"/>
        <v>4.253670000053944E-5</v>
      </c>
      <c r="AY45" s="143">
        <f t="shared" si="3"/>
        <v>0</v>
      </c>
      <c r="AZ45" s="281">
        <v>43166</v>
      </c>
      <c r="BA45" s="385">
        <f t="shared" ref="BA45" si="98">AT45+AT46</f>
        <v>62.448368475099997</v>
      </c>
      <c r="BB45" s="384">
        <f t="shared" ref="BB45" si="99">AU45+AU46</f>
        <v>-60.686</v>
      </c>
      <c r="BC45" s="384">
        <f t="shared" ref="BC45" si="100">BA45-BB45</f>
        <v>123.13436847509999</v>
      </c>
      <c r="BD45" s="384">
        <f t="shared" ref="BD45" si="101">AW45+AW46</f>
        <v>1.556</v>
      </c>
      <c r="BE45" s="384">
        <f t="shared" ref="BE45" si="102">BC45-BD45</f>
        <v>121.57836847509999</v>
      </c>
      <c r="BF45" s="376">
        <f t="shared" ref="BF45" si="103">BD45/BC45</f>
        <v>1.2636601943629179E-2</v>
      </c>
      <c r="BG45" s="233"/>
      <c r="BI45" s="458"/>
      <c r="BJ45" s="381" t="s">
        <v>59</v>
      </c>
      <c r="BK45" s="377" t="s">
        <v>270</v>
      </c>
      <c r="BL45" s="86" t="s">
        <v>13</v>
      </c>
      <c r="BM45" s="68">
        <v>1.6815305400000001E-2</v>
      </c>
      <c r="BN45" s="112">
        <f>$U$29*BM45</f>
        <v>41.8869257514</v>
      </c>
      <c r="BO45" s="307">
        <f>-41.887</f>
        <v>-41.887</v>
      </c>
      <c r="BP45" s="91">
        <f>BN45+BO45</f>
        <v>-7.424860000071476E-5</v>
      </c>
      <c r="BQ45" s="69"/>
      <c r="BR45" s="91">
        <f t="shared" si="8"/>
        <v>-7.424860000071476E-5</v>
      </c>
      <c r="BS45" s="143">
        <f t="shared" si="4"/>
        <v>0</v>
      </c>
      <c r="BT45" s="260">
        <v>43166</v>
      </c>
      <c r="BU45" s="374">
        <f t="shared" ref="BU45" si="104">BN45+BN46</f>
        <v>65.966443084199994</v>
      </c>
      <c r="BV45" s="370">
        <f t="shared" ref="BV45" si="105">BO45+BO46</f>
        <v>-64.481999999999999</v>
      </c>
      <c r="BW45" s="370">
        <f t="shared" ref="BW45" si="106">BU45+BV45</f>
        <v>1.4844430841999952</v>
      </c>
      <c r="BX45" s="370">
        <f t="shared" ref="BX45" si="107">BQ45+BQ46</f>
        <v>2.222</v>
      </c>
      <c r="BY45" s="370">
        <f t="shared" ref="BY45" si="108">BW45-BX45</f>
        <v>-0.73755691580000482</v>
      </c>
      <c r="BZ45" s="372">
        <f t="shared" ref="BZ45" si="109">BX45/BW45</f>
        <v>1.4968576590442288</v>
      </c>
    </row>
    <row r="46" spans="2:78" ht="22.5" customHeight="1" thickBot="1" x14ac:dyDescent="0.3">
      <c r="B46" s="494"/>
      <c r="C46" s="448"/>
      <c r="D46" s="444"/>
      <c r="E46" s="411"/>
      <c r="F46" s="333" t="s">
        <v>14</v>
      </c>
      <c r="G46" s="73">
        <v>6.8654809999999997E-4</v>
      </c>
      <c r="H46" s="90">
        <f t="shared" ref="H46" si="110">$U$31*G46</f>
        <v>0.98313687919999992</v>
      </c>
      <c r="I46" s="307"/>
      <c r="J46" s="91">
        <f>H46+I46+L45</f>
        <v>0.45732819629999977</v>
      </c>
      <c r="K46" s="69">
        <v>0.45600000000000002</v>
      </c>
      <c r="L46" s="91">
        <f t="shared" si="5"/>
        <v>1.328196299999751E-3</v>
      </c>
      <c r="M46" s="143">
        <f t="shared" si="58"/>
        <v>0.99709574806288903</v>
      </c>
      <c r="N46" s="292" t="s">
        <v>410</v>
      </c>
      <c r="O46" s="407"/>
      <c r="P46" s="403"/>
      <c r="Q46" s="403"/>
      <c r="R46" s="403"/>
      <c r="S46" s="403"/>
      <c r="T46" s="396"/>
      <c r="U46" s="46"/>
      <c r="V46" s="400"/>
      <c r="W46" s="380"/>
      <c r="X46" s="380"/>
      <c r="Y46" s="85" t="s">
        <v>14</v>
      </c>
      <c r="Z46" s="75">
        <v>5.5353395999999996E-3</v>
      </c>
      <c r="AA46" s="91">
        <f>$U$31*Z46</f>
        <v>7.9266063071999993</v>
      </c>
      <c r="AB46" s="307">
        <f>-7.927</f>
        <v>-7.9269999999999996</v>
      </c>
      <c r="AC46" s="91">
        <f>AA46+AB46+AE45</f>
        <v>-8.6274920000040112E-4</v>
      </c>
      <c r="AD46" s="69"/>
      <c r="AE46" s="91">
        <f>AC46-AD46</f>
        <v>-8.6274920000040112E-4</v>
      </c>
      <c r="AF46" s="143">
        <f>AD46/AC46</f>
        <v>0</v>
      </c>
      <c r="AG46" s="270">
        <v>43166</v>
      </c>
      <c r="AH46" s="393"/>
      <c r="AI46" s="386"/>
      <c r="AJ46" s="386"/>
      <c r="AK46" s="386"/>
      <c r="AL46" s="386"/>
      <c r="AM46" s="389"/>
      <c r="AO46" s="423"/>
      <c r="AP46" s="382"/>
      <c r="AQ46" s="380"/>
      <c r="AR46" s="86" t="s">
        <v>14</v>
      </c>
      <c r="AS46" s="54">
        <v>1.5918523699999999E-2</v>
      </c>
      <c r="AT46" s="91">
        <f>$U$31*AS46</f>
        <v>22.795325938399998</v>
      </c>
      <c r="AU46" s="312">
        <f>-13.835-7.198</f>
        <v>-21.033000000000001</v>
      </c>
      <c r="AV46" s="91">
        <f>AT46+AU46+AX45</f>
        <v>1.7623684750999971</v>
      </c>
      <c r="AW46" s="69">
        <v>1.556</v>
      </c>
      <c r="AX46" s="91">
        <f t="shared" si="2"/>
        <v>0.20636847509999701</v>
      </c>
      <c r="AY46" s="143">
        <f t="shared" si="3"/>
        <v>0.88290276521867106</v>
      </c>
      <c r="AZ46" s="282" t="s">
        <v>410</v>
      </c>
      <c r="BA46" s="385"/>
      <c r="BB46" s="384"/>
      <c r="BC46" s="384"/>
      <c r="BD46" s="384"/>
      <c r="BE46" s="384"/>
      <c r="BF46" s="376"/>
      <c r="BG46" s="233"/>
      <c r="BI46" s="458"/>
      <c r="BJ46" s="381"/>
      <c r="BK46" s="378"/>
      <c r="BL46" s="86" t="s">
        <v>14</v>
      </c>
      <c r="BM46" s="68">
        <v>1.6815305400000001E-2</v>
      </c>
      <c r="BN46" s="112">
        <f>$U$31*BM46</f>
        <v>24.079517332800002</v>
      </c>
      <c r="BO46" s="305">
        <f>-21.466-1.129</f>
        <v>-22.595000000000002</v>
      </c>
      <c r="BP46" s="91">
        <f>BN46+BO46+BR45</f>
        <v>1.4844430841999987</v>
      </c>
      <c r="BQ46" s="69">
        <v>2.222</v>
      </c>
      <c r="BR46" s="91">
        <f t="shared" si="8"/>
        <v>-0.73755691580000127</v>
      </c>
      <c r="BS46" s="143">
        <f t="shared" si="4"/>
        <v>1.4968576590442253</v>
      </c>
      <c r="BT46" s="318" t="s">
        <v>410</v>
      </c>
      <c r="BU46" s="375"/>
      <c r="BV46" s="371"/>
      <c r="BW46" s="371"/>
      <c r="BX46" s="371"/>
      <c r="BY46" s="371"/>
      <c r="BZ46" s="373"/>
    </row>
    <row r="47" spans="2:78" ht="27" customHeight="1" x14ac:dyDescent="0.25">
      <c r="B47" s="494"/>
      <c r="C47" s="448"/>
      <c r="D47" s="438" t="s">
        <v>60</v>
      </c>
      <c r="E47" s="408" t="s">
        <v>219</v>
      </c>
      <c r="F47" s="333" t="s">
        <v>13</v>
      </c>
      <c r="G47" s="75">
        <v>1.4832458000000001E-3</v>
      </c>
      <c r="H47" s="90">
        <f t="shared" ref="H47" si="111">$U$29*G47</f>
        <v>3.6947652878000001</v>
      </c>
      <c r="I47" s="307">
        <f>-5.819</f>
        <v>-5.819</v>
      </c>
      <c r="J47" s="91">
        <f>H47+I47</f>
        <v>-2.1242347121999998</v>
      </c>
      <c r="K47" s="69"/>
      <c r="L47" s="91">
        <f>J47-K47</f>
        <v>-2.1242347121999998</v>
      </c>
      <c r="M47" s="143">
        <f t="shared" si="58"/>
        <v>0</v>
      </c>
      <c r="N47" s="383">
        <v>43166</v>
      </c>
      <c r="O47" s="406">
        <f t="shared" ref="O47" si="112">H47+H48</f>
        <v>5.8187732733999997</v>
      </c>
      <c r="P47" s="405">
        <f t="shared" ref="P47" si="113">I47+I48</f>
        <v>-5.819</v>
      </c>
      <c r="Q47" s="402">
        <f t="shared" ref="Q47" si="114">O47+P47</f>
        <v>-2.267266000002266E-4</v>
      </c>
      <c r="R47" s="404">
        <f t="shared" ref="R47" si="115">K47+K48</f>
        <v>0</v>
      </c>
      <c r="S47" s="402">
        <f t="shared" ref="S47" si="116">Q47-R47</f>
        <v>-2.267266000002266E-4</v>
      </c>
      <c r="T47" s="395">
        <f t="shared" ref="T47" si="117">R47/Q47</f>
        <v>0</v>
      </c>
      <c r="V47" s="400"/>
      <c r="W47" s="379" t="s">
        <v>200</v>
      </c>
      <c r="X47" s="379" t="s">
        <v>247</v>
      </c>
      <c r="Y47" s="100" t="s">
        <v>13</v>
      </c>
      <c r="Z47" s="75">
        <v>9.2013249999999998E-3</v>
      </c>
      <c r="AA47" s="91">
        <f>$U$29*Z47</f>
        <v>22.920500574999998</v>
      </c>
      <c r="AB47" s="305">
        <f>-0.127-22.794</f>
        <v>-22.920999999999999</v>
      </c>
      <c r="AC47" s="91">
        <f>AA47+AB47</f>
        <v>-4.9942500000099699E-4</v>
      </c>
      <c r="AD47" s="69"/>
      <c r="AE47" s="91">
        <f>AC47-AD47</f>
        <v>-4.9942500000099699E-4</v>
      </c>
      <c r="AF47" s="143">
        <f>AD47/AC47</f>
        <v>0</v>
      </c>
      <c r="AG47" s="398">
        <v>43166</v>
      </c>
      <c r="AH47" s="393">
        <f t="shared" ref="AH47" si="118">AA47+AA48</f>
        <v>36.096797975000001</v>
      </c>
      <c r="AI47" s="386">
        <f t="shared" ref="AI47" si="119">AB47+AB48</f>
        <v>-36.097000000000001</v>
      </c>
      <c r="AJ47" s="386">
        <f t="shared" ref="AJ47" si="120">AH47+AI47</f>
        <v>-2.0202500000010559E-4</v>
      </c>
      <c r="AK47" s="386">
        <f t="shared" ref="AK47" si="121">AD47+AD48</f>
        <v>0</v>
      </c>
      <c r="AL47" s="386">
        <f t="shared" ref="AL47" si="122">AJ47-AK47</f>
        <v>-2.0202500000010559E-4</v>
      </c>
      <c r="AM47" s="389">
        <f t="shared" ref="AM47" si="123">AK47/AJ47</f>
        <v>0</v>
      </c>
      <c r="AO47" s="423"/>
      <c r="AP47" s="382" t="s">
        <v>61</v>
      </c>
      <c r="AQ47" s="379" t="s">
        <v>261</v>
      </c>
      <c r="AR47" s="86" t="s">
        <v>13</v>
      </c>
      <c r="AS47" s="54">
        <v>1.08112364E-2</v>
      </c>
      <c r="AT47" s="91">
        <f>$U$29*AS47</f>
        <v>26.930789872400002</v>
      </c>
      <c r="AU47" s="307"/>
      <c r="AV47" s="91">
        <f>AT47+AU47</f>
        <v>26.930789872400002</v>
      </c>
      <c r="AW47" s="340">
        <v>15.661</v>
      </c>
      <c r="AX47" s="91">
        <f t="shared" si="2"/>
        <v>11.269789872400002</v>
      </c>
      <c r="AY47" s="143">
        <f t="shared" si="3"/>
        <v>0.58152768909500729</v>
      </c>
      <c r="AZ47" s="282" t="s">
        <v>410</v>
      </c>
      <c r="BA47" s="385">
        <f t="shared" ref="BA47" si="124">AT47+AT48</f>
        <v>42.4124803972</v>
      </c>
      <c r="BB47" s="384">
        <f t="shared" ref="BB47" si="125">AU47+AU48</f>
        <v>0</v>
      </c>
      <c r="BC47" s="384">
        <f t="shared" ref="BC47" si="126">BA47-BB47</f>
        <v>42.4124803972</v>
      </c>
      <c r="BD47" s="384">
        <f t="shared" ref="BD47" si="127">AW47+AW48</f>
        <v>41.710999999999999</v>
      </c>
      <c r="BE47" s="384">
        <f t="shared" ref="BE47" si="128">BC47-BD47</f>
        <v>0.70148039720000099</v>
      </c>
      <c r="BF47" s="376">
        <f t="shared" ref="BF47" si="129">BD47/BC47</f>
        <v>0.98346051938885637</v>
      </c>
      <c r="BG47" s="233"/>
      <c r="BI47" s="458"/>
      <c r="BJ47" s="381" t="s">
        <v>62</v>
      </c>
      <c r="BK47" s="377" t="s">
        <v>271</v>
      </c>
      <c r="BL47" s="86" t="s">
        <v>13</v>
      </c>
      <c r="BM47" s="68">
        <v>2.3606734099999999E-2</v>
      </c>
      <c r="BN47" s="112">
        <f>$U$29*BM47</f>
        <v>58.804374643099997</v>
      </c>
      <c r="BO47" s="303"/>
      <c r="BP47" s="91">
        <f>BN47+BO47</f>
        <v>58.804374643099997</v>
      </c>
      <c r="BQ47" s="69">
        <v>47.558999999999997</v>
      </c>
      <c r="BR47" s="91">
        <f t="shared" si="8"/>
        <v>11.2453746431</v>
      </c>
      <c r="BS47" s="143">
        <f t="shared" si="4"/>
        <v>0.80876635945282493</v>
      </c>
      <c r="BT47" s="297" t="s">
        <v>410</v>
      </c>
      <c r="BU47" s="374">
        <f t="shared" ref="BU47" si="130">BN47+BN48</f>
        <v>92.609217874299986</v>
      </c>
      <c r="BV47" s="370">
        <f t="shared" ref="BV47" si="131">BO47+BO48</f>
        <v>0</v>
      </c>
      <c r="BW47" s="370">
        <f t="shared" ref="BW47" si="132">BU47+BV47</f>
        <v>92.609217874299986</v>
      </c>
      <c r="BX47" s="370">
        <f t="shared" ref="BX47" si="133">BQ47+BQ48</f>
        <v>91.192999999999998</v>
      </c>
      <c r="BY47" s="370">
        <f t="shared" ref="BY47" si="134">BW47-BX47</f>
        <v>1.4162178742999885</v>
      </c>
      <c r="BZ47" s="372">
        <f t="shared" ref="BZ47" si="135">BX47/BW47</f>
        <v>0.9847075927558071</v>
      </c>
    </row>
    <row r="48" spans="2:78" ht="20.100000000000001" customHeight="1" thickBot="1" x14ac:dyDescent="0.3">
      <c r="B48" s="494"/>
      <c r="C48" s="448"/>
      <c r="D48" s="439"/>
      <c r="E48" s="409"/>
      <c r="F48" s="333" t="s">
        <v>14</v>
      </c>
      <c r="G48" s="75">
        <v>1.4832458000000001E-3</v>
      </c>
      <c r="H48" s="90">
        <f t="shared" ref="H48" si="136">$U$31*G48</f>
        <v>2.1240079856</v>
      </c>
      <c r="I48" s="307"/>
      <c r="J48" s="91">
        <f>L47+H48+I48</f>
        <v>-2.2672659999978251E-4</v>
      </c>
      <c r="K48" s="69"/>
      <c r="L48" s="91">
        <f>J48-K48</f>
        <v>-2.2672659999978251E-4</v>
      </c>
      <c r="M48" s="143">
        <v>0</v>
      </c>
      <c r="N48" s="383"/>
      <c r="O48" s="407"/>
      <c r="P48" s="403"/>
      <c r="Q48" s="403"/>
      <c r="R48" s="403"/>
      <c r="S48" s="403"/>
      <c r="T48" s="396"/>
      <c r="V48" s="400"/>
      <c r="W48" s="380"/>
      <c r="X48" s="380"/>
      <c r="Y48" s="85" t="s">
        <v>14</v>
      </c>
      <c r="Z48" s="75">
        <v>9.2013249999999998E-3</v>
      </c>
      <c r="AA48" s="91">
        <f>$U$31*Z48</f>
        <v>13.176297399999999</v>
      </c>
      <c r="AB48" s="307">
        <f>-13.176</f>
        <v>-13.176</v>
      </c>
      <c r="AC48" s="91">
        <f>AA48+AB48+AE47</f>
        <v>-2.0202500000188195E-4</v>
      </c>
      <c r="AD48" s="69"/>
      <c r="AE48" s="91">
        <f>AC48-AD48</f>
        <v>-2.0202500000188195E-4</v>
      </c>
      <c r="AF48" s="143">
        <f>AD48/AC48</f>
        <v>0</v>
      </c>
      <c r="AG48" s="435"/>
      <c r="AH48" s="393"/>
      <c r="AI48" s="386"/>
      <c r="AJ48" s="386"/>
      <c r="AK48" s="386"/>
      <c r="AL48" s="386"/>
      <c r="AM48" s="389"/>
      <c r="AO48" s="423"/>
      <c r="AP48" s="382"/>
      <c r="AQ48" s="380"/>
      <c r="AR48" s="86" t="s">
        <v>14</v>
      </c>
      <c r="AS48" s="54">
        <v>1.08112364E-2</v>
      </c>
      <c r="AT48" s="91">
        <f>$U$31*AS48</f>
        <v>15.481690524800001</v>
      </c>
      <c r="AU48" s="307"/>
      <c r="AV48" s="91">
        <f>AT48+AU48+AX47</f>
        <v>26.751480397200005</v>
      </c>
      <c r="AW48" s="69">
        <v>26.05</v>
      </c>
      <c r="AX48" s="91">
        <f t="shared" si="2"/>
        <v>0.70148039720000455</v>
      </c>
      <c r="AY48" s="143">
        <f t="shared" si="3"/>
        <v>0.97377788493255024</v>
      </c>
      <c r="AZ48" s="280" t="s">
        <v>410</v>
      </c>
      <c r="BA48" s="385"/>
      <c r="BB48" s="384"/>
      <c r="BC48" s="384"/>
      <c r="BD48" s="384"/>
      <c r="BE48" s="384"/>
      <c r="BF48" s="376"/>
      <c r="BG48" s="233"/>
      <c r="BI48" s="458"/>
      <c r="BJ48" s="381"/>
      <c r="BK48" s="378"/>
      <c r="BL48" s="86" t="s">
        <v>14</v>
      </c>
      <c r="BM48" s="68">
        <v>2.3606734099999999E-2</v>
      </c>
      <c r="BN48" s="112">
        <f>$U$31*BM48</f>
        <v>33.804843231199996</v>
      </c>
      <c r="BO48" s="303"/>
      <c r="BP48" s="91">
        <f>BN48+BO48+BR47</f>
        <v>45.050217874299996</v>
      </c>
      <c r="BQ48" s="69">
        <v>43.634</v>
      </c>
      <c r="BR48" s="91">
        <f t="shared" si="8"/>
        <v>1.4162178742999956</v>
      </c>
      <c r="BS48" s="143">
        <f t="shared" si="4"/>
        <v>0.96856357324948894</v>
      </c>
      <c r="BT48" s="297" t="s">
        <v>410</v>
      </c>
      <c r="BU48" s="375"/>
      <c r="BV48" s="371"/>
      <c r="BW48" s="371"/>
      <c r="BX48" s="371"/>
      <c r="BY48" s="371"/>
      <c r="BZ48" s="373"/>
    </row>
    <row r="49" spans="2:78" ht="24" customHeight="1" x14ac:dyDescent="0.25">
      <c r="B49" s="494"/>
      <c r="C49" s="448"/>
      <c r="D49" s="438" t="s">
        <v>63</v>
      </c>
      <c r="E49" s="408" t="s">
        <v>220</v>
      </c>
      <c r="F49" s="333" t="s">
        <v>13</v>
      </c>
      <c r="G49" s="75">
        <v>2.0477631999999998E-3</v>
      </c>
      <c r="H49" s="90">
        <f t="shared" ref="H49" si="137">$U$29*G49</f>
        <v>5.1009781311999998</v>
      </c>
      <c r="I49" s="307">
        <f>-7.753</f>
        <v>-7.7530000000000001</v>
      </c>
      <c r="J49" s="91">
        <f>H49+I49</f>
        <v>-2.6520218688000003</v>
      </c>
      <c r="K49" s="69"/>
      <c r="L49" s="91">
        <f t="shared" ref="L49:L54" si="138">J49-K49</f>
        <v>-2.6520218688000003</v>
      </c>
      <c r="M49" s="143">
        <f t="shared" ref="M49:M54" si="139">K49/J49</f>
        <v>0</v>
      </c>
      <c r="N49" s="294">
        <v>43166</v>
      </c>
      <c r="O49" s="406">
        <f t="shared" ref="O49" si="140">H49+H50</f>
        <v>8.0333750335999987</v>
      </c>
      <c r="P49" s="405">
        <f t="shared" ref="P49" si="141">I49+I50</f>
        <v>-7.7530000000000001</v>
      </c>
      <c r="Q49" s="402">
        <f t="shared" ref="Q49" si="142">O49+P49</f>
        <v>0.2803750335999986</v>
      </c>
      <c r="R49" s="404">
        <f t="shared" ref="R49" si="143">K49+K50</f>
        <v>0</v>
      </c>
      <c r="S49" s="402">
        <f t="shared" ref="S49" si="144">Q49-R49</f>
        <v>0.2803750335999986</v>
      </c>
      <c r="T49" s="395">
        <f t="shared" ref="T49" si="145">R49/Q49</f>
        <v>0</v>
      </c>
      <c r="V49" s="400"/>
      <c r="W49" s="379" t="s">
        <v>64</v>
      </c>
      <c r="X49" s="379" t="s">
        <v>248</v>
      </c>
      <c r="Y49" s="100" t="s">
        <v>13</v>
      </c>
      <c r="Z49" s="75">
        <v>1.0717428899999999E-2</v>
      </c>
      <c r="AA49" s="91">
        <f>$U$29*Z49</f>
        <v>26.697115389899999</v>
      </c>
      <c r="AB49" s="307">
        <f>-26.697</f>
        <v>-26.696999999999999</v>
      </c>
      <c r="AC49" s="91">
        <f>AA49+AB49</f>
        <v>1.1538989999948512E-4</v>
      </c>
      <c r="AD49" s="69"/>
      <c r="AE49" s="91">
        <f t="shared" si="6"/>
        <v>1.1538989999948512E-4</v>
      </c>
      <c r="AF49" s="143">
        <v>0</v>
      </c>
      <c r="AG49" s="269">
        <v>43166</v>
      </c>
      <c r="AH49" s="393">
        <f t="shared" ref="AH49" si="146">AA49+AA50</f>
        <v>42.0444735747</v>
      </c>
      <c r="AI49" s="386">
        <f t="shared" ref="AI49" si="147">AB49+AB50</f>
        <v>-40.397999999999996</v>
      </c>
      <c r="AJ49" s="386">
        <f t="shared" ref="AJ49" si="148">AH49+AI49</f>
        <v>1.6464735747000034</v>
      </c>
      <c r="AK49" s="386">
        <f t="shared" ref="AK49" si="149">AD49+AD50</f>
        <v>1.647</v>
      </c>
      <c r="AL49" s="386">
        <f t="shared" ref="AL49" si="150">AJ49-AK49</f>
        <v>-5.2642529999658016E-4</v>
      </c>
      <c r="AM49" s="389">
        <f t="shared" ref="AM49" si="151">AK49/AJ49</f>
        <v>1.000319728969894</v>
      </c>
      <c r="AO49" s="423"/>
      <c r="AP49" s="382" t="s">
        <v>65</v>
      </c>
      <c r="AQ49" s="379" t="s">
        <v>262</v>
      </c>
      <c r="AR49" s="86" t="s">
        <v>13</v>
      </c>
      <c r="AS49" s="54">
        <v>1.5012192999999999E-3</v>
      </c>
      <c r="AT49" s="91">
        <f>$U$29*AS49</f>
        <v>3.7395372762999997</v>
      </c>
      <c r="AU49" s="307"/>
      <c r="AV49" s="91">
        <f>AT49+AU49</f>
        <v>3.7395372762999997</v>
      </c>
      <c r="AW49" s="69"/>
      <c r="AX49" s="91">
        <f t="shared" si="2"/>
        <v>3.7395372762999997</v>
      </c>
      <c r="AY49" s="143">
        <f t="shared" si="3"/>
        <v>0</v>
      </c>
      <c r="AZ49" s="282" t="s">
        <v>410</v>
      </c>
      <c r="BA49" s="385">
        <f t="shared" ref="BA49" si="152">AT49+AT50</f>
        <v>5.8892833139</v>
      </c>
      <c r="BB49" s="384">
        <f t="shared" ref="BB49" si="153">AU49+AU50</f>
        <v>-4.2969999999999997</v>
      </c>
      <c r="BC49" s="384">
        <f t="shared" ref="BC49" si="154">BA49-BB49</f>
        <v>10.186283313899999</v>
      </c>
      <c r="BD49" s="384">
        <f t="shared" ref="BD49" si="155">AW49+AW50</f>
        <v>1.556</v>
      </c>
      <c r="BE49" s="384">
        <f t="shared" ref="BE49" si="156">BC49-BD49</f>
        <v>8.6302833138999979</v>
      </c>
      <c r="BF49" s="376">
        <f t="shared" ref="BF49" si="157">BD49/BC49</f>
        <v>0.15275443967641403</v>
      </c>
      <c r="BG49" s="233"/>
      <c r="BI49" s="458"/>
      <c r="BJ49" s="381" t="s">
        <v>66</v>
      </c>
      <c r="BK49" s="377" t="s">
        <v>272</v>
      </c>
      <c r="BL49" s="86" t="s">
        <v>13</v>
      </c>
      <c r="BM49" s="68">
        <v>1.4061789599999999E-2</v>
      </c>
      <c r="BN49" s="112">
        <v>55.162999999999997</v>
      </c>
      <c r="BO49" s="307">
        <f>-12.672</f>
        <v>-12.672000000000001</v>
      </c>
      <c r="BP49" s="91">
        <f>BN49+BO49</f>
        <v>42.491</v>
      </c>
      <c r="BQ49" s="340">
        <v>23.119</v>
      </c>
      <c r="BR49" s="91">
        <f t="shared" si="8"/>
        <v>19.372</v>
      </c>
      <c r="BS49" s="143">
        <f t="shared" si="4"/>
        <v>0.54409169000494217</v>
      </c>
      <c r="BT49" s="297" t="s">
        <v>410</v>
      </c>
      <c r="BU49" s="374">
        <f t="shared" ref="BU49" si="158">BN49+BN50</f>
        <v>55.163999999999994</v>
      </c>
      <c r="BV49" s="370">
        <f t="shared" ref="BV49" si="159">BO49+BO50</f>
        <v>-12.672000000000001</v>
      </c>
      <c r="BW49" s="370">
        <f t="shared" ref="BW49" si="160">BU49+BV49</f>
        <v>42.49199999999999</v>
      </c>
      <c r="BX49" s="370">
        <f t="shared" ref="BX49" si="161">BQ49+BQ50</f>
        <v>41.733000000000004</v>
      </c>
      <c r="BY49" s="370">
        <f t="shared" ref="BY49" si="162">BW49-BX49</f>
        <v>0.75899999999998613</v>
      </c>
      <c r="BZ49" s="372">
        <f t="shared" ref="BZ49" si="163">BX49/BW49</f>
        <v>0.98213781417678658</v>
      </c>
    </row>
    <row r="50" spans="2:78" ht="20.100000000000001" customHeight="1" thickBot="1" x14ac:dyDescent="0.3">
      <c r="B50" s="494"/>
      <c r="C50" s="448"/>
      <c r="D50" s="439"/>
      <c r="E50" s="409"/>
      <c r="F50" s="333" t="s">
        <v>14</v>
      </c>
      <c r="G50" s="75">
        <v>2.0477631999999998E-3</v>
      </c>
      <c r="H50" s="90">
        <f t="shared" ref="H50" si="164">$U$31*G50</f>
        <v>2.9323969023999998</v>
      </c>
      <c r="I50" s="307"/>
      <c r="J50" s="91">
        <f>H50+I50+L49</f>
        <v>0.28037503359999949</v>
      </c>
      <c r="K50" s="69"/>
      <c r="L50" s="91">
        <f>J50-K50</f>
        <v>0.28037503359999949</v>
      </c>
      <c r="M50" s="143">
        <f t="shared" si="139"/>
        <v>0</v>
      </c>
      <c r="N50" s="292" t="s">
        <v>410</v>
      </c>
      <c r="O50" s="407"/>
      <c r="P50" s="403"/>
      <c r="Q50" s="403"/>
      <c r="R50" s="403"/>
      <c r="S50" s="403"/>
      <c r="T50" s="396"/>
      <c r="V50" s="400"/>
      <c r="W50" s="380"/>
      <c r="X50" s="380"/>
      <c r="Y50" s="85" t="s">
        <v>14</v>
      </c>
      <c r="Z50" s="75">
        <v>1.0717428899999999E-2</v>
      </c>
      <c r="AA50" s="91">
        <f>$U$31*Z50</f>
        <v>15.347358184799999</v>
      </c>
      <c r="AB50" s="307">
        <f>-13.701</f>
        <v>-13.701000000000001</v>
      </c>
      <c r="AC50" s="91">
        <f>AA50+AB50+AE49</f>
        <v>1.6464735746999981</v>
      </c>
      <c r="AD50" s="69">
        <v>1.647</v>
      </c>
      <c r="AE50" s="91">
        <f t="shared" si="6"/>
        <v>-5.2642530000190924E-4</v>
      </c>
      <c r="AF50" s="143">
        <v>0</v>
      </c>
      <c r="AG50" s="324">
        <v>43383</v>
      </c>
      <c r="AH50" s="393"/>
      <c r="AI50" s="386"/>
      <c r="AJ50" s="386"/>
      <c r="AK50" s="386"/>
      <c r="AL50" s="386"/>
      <c r="AM50" s="389"/>
      <c r="AO50" s="423"/>
      <c r="AP50" s="382"/>
      <c r="AQ50" s="380"/>
      <c r="AR50" s="86" t="s">
        <v>14</v>
      </c>
      <c r="AS50" s="54">
        <v>1.5012192999999999E-3</v>
      </c>
      <c r="AT50" s="91">
        <f>$U$31*AS50</f>
        <v>2.1497460375999999</v>
      </c>
      <c r="AU50" s="307">
        <f>-4.297</f>
        <v>-4.2969999999999997</v>
      </c>
      <c r="AV50" s="91">
        <f>AT50+AU50+AX49</f>
        <v>1.5922833138999999</v>
      </c>
      <c r="AW50" s="69">
        <v>1.556</v>
      </c>
      <c r="AX50" s="91">
        <f t="shared" si="2"/>
        <v>3.6283313899999836E-2</v>
      </c>
      <c r="AY50" s="143">
        <f t="shared" si="3"/>
        <v>0.97721302887290162</v>
      </c>
      <c r="AZ50" s="282" t="s">
        <v>410</v>
      </c>
      <c r="BA50" s="385"/>
      <c r="BB50" s="384"/>
      <c r="BC50" s="384"/>
      <c r="BD50" s="384"/>
      <c r="BE50" s="384"/>
      <c r="BF50" s="376"/>
      <c r="BG50" s="233"/>
      <c r="BI50" s="458"/>
      <c r="BJ50" s="381"/>
      <c r="BK50" s="378"/>
      <c r="BL50" s="86" t="s">
        <v>14</v>
      </c>
      <c r="BM50" s="68">
        <v>1.4061789599999999E-2</v>
      </c>
      <c r="BN50" s="112">
        <v>1E-3</v>
      </c>
      <c r="BO50" s="307"/>
      <c r="BP50" s="91">
        <f>BN50+BO50+BR49</f>
        <v>19.373000000000001</v>
      </c>
      <c r="BQ50" s="69">
        <v>18.614000000000001</v>
      </c>
      <c r="BR50" s="91">
        <f t="shared" si="8"/>
        <v>0.75900000000000034</v>
      </c>
      <c r="BS50" s="143">
        <f t="shared" si="4"/>
        <v>0.96082176224642546</v>
      </c>
      <c r="BT50" s="298" t="s">
        <v>410</v>
      </c>
      <c r="BU50" s="375"/>
      <c r="BV50" s="371"/>
      <c r="BW50" s="371"/>
      <c r="BX50" s="371"/>
      <c r="BY50" s="371"/>
      <c r="BZ50" s="373"/>
    </row>
    <row r="51" spans="2:78" ht="21.75" customHeight="1" x14ac:dyDescent="0.25">
      <c r="B51" s="494"/>
      <c r="C51" s="448"/>
      <c r="D51" s="443" t="s">
        <v>67</v>
      </c>
      <c r="E51" s="410" t="s">
        <v>221</v>
      </c>
      <c r="F51" s="333" t="s">
        <v>13</v>
      </c>
      <c r="G51" s="75">
        <v>2.4852228999999999E-3</v>
      </c>
      <c r="H51" s="90">
        <f t="shared" ref="H51" si="165">$U$29*G51</f>
        <v>6.1906902438999998</v>
      </c>
      <c r="I51" s="307"/>
      <c r="J51" s="91">
        <f>H51+I51</f>
        <v>6.1906902438999998</v>
      </c>
      <c r="K51" s="69">
        <v>1.994</v>
      </c>
      <c r="L51" s="91">
        <f t="shared" si="138"/>
        <v>4.1966902439</v>
      </c>
      <c r="M51" s="143">
        <f t="shared" si="139"/>
        <v>0.32209655489786282</v>
      </c>
      <c r="N51" s="383">
        <v>43179</v>
      </c>
      <c r="O51" s="406">
        <f t="shared" ref="O51" si="166">H51+H52</f>
        <v>9.7495294366999996</v>
      </c>
      <c r="P51" s="405">
        <f t="shared" ref="P51" si="167">I51+I52</f>
        <v>-7.7549999999999999</v>
      </c>
      <c r="Q51" s="402">
        <f t="shared" ref="Q51" si="168">O51+P51</f>
        <v>1.9945294366999997</v>
      </c>
      <c r="R51" s="404">
        <f t="shared" ref="R51" si="169">K51+K52</f>
        <v>1.994</v>
      </c>
      <c r="S51" s="402">
        <f t="shared" ref="S51" si="170">Q51-R51</f>
        <v>5.294366999997191E-4</v>
      </c>
      <c r="T51" s="395">
        <f t="shared" ref="T51" si="171">R51/Q51</f>
        <v>0.9997345555847621</v>
      </c>
      <c r="V51" s="400"/>
      <c r="W51" s="379" t="s">
        <v>68</v>
      </c>
      <c r="X51" s="379" t="s">
        <v>424</v>
      </c>
      <c r="Y51" s="100" t="s">
        <v>13</v>
      </c>
      <c r="Z51" s="75">
        <v>2.52421127E-2</v>
      </c>
      <c r="AA51" s="91">
        <v>99.024000000000001</v>
      </c>
      <c r="AB51" s="307">
        <f>-56.701</f>
        <v>-56.701000000000001</v>
      </c>
      <c r="AC51" s="91">
        <f>AA51+AB51</f>
        <v>42.323</v>
      </c>
      <c r="AD51" s="2">
        <v>4.9790000000000001</v>
      </c>
      <c r="AE51" s="91">
        <f t="shared" si="6"/>
        <v>37.344000000000001</v>
      </c>
      <c r="AF51" s="143">
        <f t="shared" ref="AF51:AF58" si="172">AD51/AC51</f>
        <v>0.11764288920917705</v>
      </c>
      <c r="AG51" s="256" t="s">
        <v>410</v>
      </c>
      <c r="AH51" s="393">
        <f t="shared" ref="AH51" si="173">AA51+AA52</f>
        <v>99.025000000000006</v>
      </c>
      <c r="AI51" s="386">
        <f t="shared" ref="AI51" si="174">AB51+AB52</f>
        <v>-56.701000000000001</v>
      </c>
      <c r="AJ51" s="386">
        <f t="shared" ref="AJ51" si="175">AH51+AI51</f>
        <v>42.324000000000005</v>
      </c>
      <c r="AK51" s="386">
        <f t="shared" ref="AK51" si="176">AD51+AD52</f>
        <v>36.493000000000002</v>
      </c>
      <c r="AL51" s="386">
        <f t="shared" ref="AL51" si="177">AJ51-AK51</f>
        <v>5.8310000000000031</v>
      </c>
      <c r="AM51" s="389">
        <f t="shared" ref="AM51" si="178">AK51/AJ51</f>
        <v>0.86222946791418575</v>
      </c>
      <c r="AO51" s="423"/>
      <c r="AP51" s="382" t="s">
        <v>69</v>
      </c>
      <c r="AQ51" s="379">
        <v>4452</v>
      </c>
      <c r="AR51" s="86" t="s">
        <v>13</v>
      </c>
      <c r="AS51" s="54">
        <v>1.2413368000000001E-3</v>
      </c>
      <c r="AT51" s="91">
        <f>$U$29*AS51</f>
        <v>3.0921699687999999</v>
      </c>
      <c r="AU51" s="307"/>
      <c r="AV51" s="91">
        <f>AT51+AU51</f>
        <v>3.0921699687999999</v>
      </c>
      <c r="AW51" s="69">
        <v>2.2320000000000002</v>
      </c>
      <c r="AX51" s="91">
        <f t="shared" si="2"/>
        <v>0.86016996879999974</v>
      </c>
      <c r="AY51" s="143">
        <f t="shared" si="3"/>
        <v>0.72182319294245911</v>
      </c>
      <c r="AZ51" s="282" t="s">
        <v>410</v>
      </c>
      <c r="BA51" s="385">
        <f t="shared" ref="BA51" si="179">AT51+AT52</f>
        <v>4.8697642663999998</v>
      </c>
      <c r="BB51" s="384">
        <f t="shared" ref="BB51" si="180">AU51+AU52</f>
        <v>0</v>
      </c>
      <c r="BC51" s="384">
        <f t="shared" ref="BC51" si="181">BA51-BB51</f>
        <v>4.8697642663999998</v>
      </c>
      <c r="BD51" s="384">
        <f t="shared" ref="BD51" si="182">AW51+AW52</f>
        <v>4.8650000000000002</v>
      </c>
      <c r="BE51" s="384">
        <f t="shared" ref="BE51" si="183">BC51-BD51</f>
        <v>4.764266399999606E-3</v>
      </c>
      <c r="BF51" s="376">
        <f t="shared" ref="BF51" si="184">BD51/BC51</f>
        <v>0.99902166385488689</v>
      </c>
      <c r="BG51" s="233"/>
      <c r="BI51" s="458"/>
      <c r="BJ51" s="382" t="s">
        <v>70</v>
      </c>
      <c r="BK51" s="379" t="s">
        <v>273</v>
      </c>
      <c r="BL51" s="86" t="s">
        <v>13</v>
      </c>
      <c r="BM51" s="68">
        <v>1.7517082E-2</v>
      </c>
      <c r="BN51" s="112">
        <f>$U$29*BM51</f>
        <v>43.635051261999998</v>
      </c>
      <c r="BO51" s="307">
        <f>-43.635</f>
        <v>-43.634999999999998</v>
      </c>
      <c r="BP51" s="91">
        <f>BN51+BO51</f>
        <v>5.1261999999496766E-5</v>
      </c>
      <c r="BQ51" s="69"/>
      <c r="BR51" s="91">
        <f t="shared" si="8"/>
        <v>5.1261999999496766E-5</v>
      </c>
      <c r="BS51" s="143">
        <f t="shared" si="4"/>
        <v>0</v>
      </c>
      <c r="BT51" s="260">
        <v>43154</v>
      </c>
      <c r="BU51" s="374">
        <f t="shared" ref="BU51" si="185">BN51+BN52</f>
        <v>68.719512686000002</v>
      </c>
      <c r="BV51" s="370">
        <f t="shared" ref="BV51" si="186">BO51+BO52</f>
        <v>-68.718999999999994</v>
      </c>
      <c r="BW51" s="370">
        <f t="shared" ref="BW51" si="187">BU51+BV51</f>
        <v>5.1268600000753395E-4</v>
      </c>
      <c r="BX51" s="370">
        <f t="shared" ref="BX51" si="188">BQ51+BQ52</f>
        <v>0</v>
      </c>
      <c r="BY51" s="370">
        <f t="shared" ref="BY51" si="189">BW51-BX51</f>
        <v>5.1268600000753395E-4</v>
      </c>
      <c r="BZ51" s="372">
        <f t="shared" ref="BZ51" si="190">BX51/BW51</f>
        <v>0</v>
      </c>
    </row>
    <row r="52" spans="2:78" ht="25.5" customHeight="1" thickBot="1" x14ac:dyDescent="0.3">
      <c r="B52" s="494"/>
      <c r="C52" s="448"/>
      <c r="D52" s="444"/>
      <c r="E52" s="411"/>
      <c r="F52" s="333" t="s">
        <v>14</v>
      </c>
      <c r="G52" s="75">
        <v>2.4852228999999999E-3</v>
      </c>
      <c r="H52" s="90">
        <f t="shared" ref="H52" si="191">$U$31*G52</f>
        <v>3.5588391927999998</v>
      </c>
      <c r="I52" s="307">
        <f>-7.755</f>
        <v>-7.7549999999999999</v>
      </c>
      <c r="J52" s="91">
        <f>H52+I52+L51</f>
        <v>5.2943669999994114E-4</v>
      </c>
      <c r="K52" s="69"/>
      <c r="L52" s="91">
        <f t="shared" si="138"/>
        <v>5.2943669999994114E-4</v>
      </c>
      <c r="M52" s="143">
        <f t="shared" si="139"/>
        <v>0</v>
      </c>
      <c r="N52" s="383"/>
      <c r="O52" s="407"/>
      <c r="P52" s="403"/>
      <c r="Q52" s="403"/>
      <c r="R52" s="403"/>
      <c r="S52" s="403"/>
      <c r="T52" s="396"/>
      <c r="V52" s="400"/>
      <c r="W52" s="380"/>
      <c r="X52" s="380"/>
      <c r="Y52" s="85" t="s">
        <v>14</v>
      </c>
      <c r="Z52" s="75">
        <v>2.52421127E-2</v>
      </c>
      <c r="AA52" s="91">
        <v>1E-3</v>
      </c>
      <c r="AB52" s="307"/>
      <c r="AC52" s="91">
        <f>AA52+AB52+AE51</f>
        <v>37.344999999999999</v>
      </c>
      <c r="AD52" s="24">
        <v>31.513999999999999</v>
      </c>
      <c r="AE52" s="91">
        <f t="shared" si="6"/>
        <v>5.8309999999999995</v>
      </c>
      <c r="AF52" s="143">
        <f t="shared" si="172"/>
        <v>0.84386129334582949</v>
      </c>
      <c r="AG52" s="256" t="s">
        <v>410</v>
      </c>
      <c r="AH52" s="393"/>
      <c r="AI52" s="386"/>
      <c r="AJ52" s="386"/>
      <c r="AK52" s="386"/>
      <c r="AL52" s="386"/>
      <c r="AM52" s="389"/>
      <c r="AO52" s="423"/>
      <c r="AP52" s="382"/>
      <c r="AQ52" s="380"/>
      <c r="AR52" s="86" t="s">
        <v>14</v>
      </c>
      <c r="AS52" s="54">
        <v>1.2413368000000001E-3</v>
      </c>
      <c r="AT52" s="91">
        <f>$U$31*AS52</f>
        <v>1.7775942976000001</v>
      </c>
      <c r="AU52" s="307"/>
      <c r="AV52" s="91">
        <f>AT52+AU52+AX51</f>
        <v>2.6377642663999996</v>
      </c>
      <c r="AW52" s="69">
        <v>2.633</v>
      </c>
      <c r="AX52" s="91">
        <f t="shared" si="2"/>
        <v>4.764266399999606E-3</v>
      </c>
      <c r="AY52" s="143">
        <f t="shared" si="3"/>
        <v>0.99819382404231982</v>
      </c>
      <c r="AZ52" s="282" t="s">
        <v>410</v>
      </c>
      <c r="BA52" s="385"/>
      <c r="BB52" s="384"/>
      <c r="BC52" s="384"/>
      <c r="BD52" s="384"/>
      <c r="BE52" s="384"/>
      <c r="BF52" s="376"/>
      <c r="BG52" s="233"/>
      <c r="BI52" s="458"/>
      <c r="BJ52" s="382"/>
      <c r="BK52" s="380"/>
      <c r="BL52" s="86" t="s">
        <v>14</v>
      </c>
      <c r="BM52" s="68">
        <v>1.7517082E-2</v>
      </c>
      <c r="BN52" s="112">
        <f>$U$31*BM52</f>
        <v>25.084461424000001</v>
      </c>
      <c r="BO52" s="307">
        <f>-25.084</f>
        <v>-25.084</v>
      </c>
      <c r="BP52" s="91">
        <f>BN52+BO52+BR51</f>
        <v>5.1268600000042852E-4</v>
      </c>
      <c r="BQ52" s="69"/>
      <c r="BR52" s="91">
        <f t="shared" si="8"/>
        <v>5.1268600000042852E-4</v>
      </c>
      <c r="BS52" s="143">
        <f t="shared" si="4"/>
        <v>0</v>
      </c>
      <c r="BT52" s="260">
        <v>43166</v>
      </c>
      <c r="BU52" s="375"/>
      <c r="BV52" s="371"/>
      <c r="BW52" s="371"/>
      <c r="BX52" s="371"/>
      <c r="BY52" s="371"/>
      <c r="BZ52" s="373"/>
    </row>
    <row r="53" spans="2:78" ht="20.100000000000001" customHeight="1" x14ac:dyDescent="0.25">
      <c r="B53" s="494"/>
      <c r="C53" s="448"/>
      <c r="D53" s="443" t="s">
        <v>71</v>
      </c>
      <c r="E53" s="410" t="s">
        <v>222</v>
      </c>
      <c r="F53" s="333" t="s">
        <v>13</v>
      </c>
      <c r="G53" s="75">
        <v>2.4980152000000002E-3</v>
      </c>
      <c r="H53" s="90">
        <f t="shared" ref="H53" si="192">$U$29*G53</f>
        <v>6.2225558632000002</v>
      </c>
      <c r="I53" s="307">
        <v>-8.2669999999999995</v>
      </c>
      <c r="J53" s="91">
        <f>H53+I53</f>
        <v>-2.0444441367999993</v>
      </c>
      <c r="K53" s="69">
        <v>0.111</v>
      </c>
      <c r="L53" s="91">
        <f t="shared" si="138"/>
        <v>-2.1554441367999995</v>
      </c>
      <c r="M53" s="143">
        <v>1</v>
      </c>
      <c r="N53" s="292" t="s">
        <v>410</v>
      </c>
      <c r="O53" s="406">
        <f t="shared" ref="O53" si="193">H53+H54</f>
        <v>9.7997136296000011</v>
      </c>
      <c r="P53" s="405">
        <f t="shared" ref="P53" si="194">I53+I54</f>
        <v>-8.2669999999999995</v>
      </c>
      <c r="Q53" s="402">
        <f t="shared" ref="Q53" si="195">O53+P53</f>
        <v>1.5327136296000017</v>
      </c>
      <c r="R53" s="404">
        <f t="shared" ref="R53" si="196">K53+K54</f>
        <v>1.444</v>
      </c>
      <c r="S53" s="402">
        <f t="shared" ref="S53" si="197">Q53-R53</f>
        <v>8.8713629600001731E-2</v>
      </c>
      <c r="T53" s="395">
        <f t="shared" ref="T53" si="198">R53/Q53</f>
        <v>0.94211989253129191</v>
      </c>
      <c r="V53" s="400"/>
      <c r="W53" s="379" t="s">
        <v>72</v>
      </c>
      <c r="X53" s="379" t="s">
        <v>249</v>
      </c>
      <c r="Y53" s="100" t="s">
        <v>13</v>
      </c>
      <c r="Z53" s="75">
        <v>1.6824903700000001E-2</v>
      </c>
      <c r="AA53" s="91">
        <f>$U$29*Z53</f>
        <v>41.9108351167</v>
      </c>
      <c r="AB53" s="307">
        <f>-41.911</f>
        <v>-41.911000000000001</v>
      </c>
      <c r="AC53" s="91">
        <f>AA53+AB53</f>
        <v>-1.6488330000186124E-4</v>
      </c>
      <c r="AD53" s="69"/>
      <c r="AE53" s="91">
        <f t="shared" si="6"/>
        <v>-1.6488330000186124E-4</v>
      </c>
      <c r="AF53" s="143">
        <f t="shared" si="172"/>
        <v>0</v>
      </c>
      <c r="AG53" s="398">
        <v>43166</v>
      </c>
      <c r="AH53" s="393">
        <f t="shared" ref="AH53" si="199">AA53+AA54</f>
        <v>66.004097215100003</v>
      </c>
      <c r="AI53" s="386">
        <f t="shared" ref="AI53" si="200">AB53+AB54</f>
        <v>-66.004000000000005</v>
      </c>
      <c r="AJ53" s="386">
        <f t="shared" ref="AJ53" si="201">AH53+AI53</f>
        <v>9.7215099998493315E-5</v>
      </c>
      <c r="AK53" s="386">
        <f t="shared" ref="AK53" si="202">AD53+AD54</f>
        <v>0</v>
      </c>
      <c r="AL53" s="386">
        <f t="shared" ref="AL53" si="203">AJ53-AK53</f>
        <v>9.7215099998493315E-5</v>
      </c>
      <c r="AM53" s="389">
        <f t="shared" ref="AM53" si="204">AK53/AJ53</f>
        <v>0</v>
      </c>
      <c r="AO53" s="423"/>
      <c r="AP53" s="382" t="s">
        <v>73</v>
      </c>
      <c r="AQ53" s="418" t="s">
        <v>421</v>
      </c>
      <c r="AR53" s="86" t="s">
        <v>13</v>
      </c>
      <c r="AS53" s="68">
        <v>1.6476685500000001E-2</v>
      </c>
      <c r="AT53" s="91">
        <f>$U$29*AS53</f>
        <v>41.043423580500004</v>
      </c>
      <c r="AU53" s="307">
        <f>-41.043</f>
        <v>-41.042999999999999</v>
      </c>
      <c r="AV53" s="91">
        <f>AT53+AU53</f>
        <v>4.2358050000501635E-4</v>
      </c>
      <c r="AW53" s="69"/>
      <c r="AX53" s="91">
        <f t="shared" si="2"/>
        <v>4.2358050000501635E-4</v>
      </c>
      <c r="AY53" s="143">
        <f t="shared" si="3"/>
        <v>0</v>
      </c>
      <c r="AZ53" s="281">
        <v>43166</v>
      </c>
      <c r="BA53" s="385">
        <f t="shared" ref="BA53" si="205">AT53+AT54</f>
        <v>64.63803721650001</v>
      </c>
      <c r="BB53" s="384">
        <f t="shared" ref="BB53" si="206">AU53+AU54</f>
        <v>-64.638000000000005</v>
      </c>
      <c r="BC53" s="384">
        <f t="shared" ref="BC53" si="207">BA53-BB53</f>
        <v>129.27603721650001</v>
      </c>
      <c r="BD53" s="384">
        <f t="shared" ref="BD53" si="208">AW53+AW54</f>
        <v>0</v>
      </c>
      <c r="BE53" s="384">
        <f t="shared" ref="BE53" si="209">BC53-BD53</f>
        <v>129.27603721650001</v>
      </c>
      <c r="BF53" s="376">
        <f t="shared" ref="BF53" si="210">BD53/BC53</f>
        <v>0</v>
      </c>
      <c r="BG53" s="233"/>
      <c r="BI53" s="458"/>
      <c r="BJ53" s="381" t="s">
        <v>74</v>
      </c>
      <c r="BK53" s="377" t="s">
        <v>274</v>
      </c>
      <c r="BL53" s="86" t="s">
        <v>13</v>
      </c>
      <c r="BM53" s="68">
        <v>5.9070873500000003E-2</v>
      </c>
      <c r="BN53" s="112">
        <v>148.62700000000001</v>
      </c>
      <c r="BO53" s="307">
        <f>-147.146-1.481</f>
        <v>-148.62699999999998</v>
      </c>
      <c r="BP53" s="91">
        <f>BN53+BO53</f>
        <v>0</v>
      </c>
      <c r="BQ53" s="69"/>
      <c r="BR53" s="91">
        <f t="shared" si="8"/>
        <v>0</v>
      </c>
      <c r="BS53" s="143">
        <v>0</v>
      </c>
      <c r="BT53" s="383">
        <v>43166</v>
      </c>
      <c r="BU53" s="374">
        <f t="shared" ref="BU53" si="211">BN53+BN54</f>
        <v>234.06800000000001</v>
      </c>
      <c r="BV53" s="370">
        <f t="shared" ref="BV53" si="212">BO53+BO54</f>
        <v>-234.06699999999998</v>
      </c>
      <c r="BW53" s="370">
        <f t="shared" ref="BW53" si="213">BU53+BV53</f>
        <v>1.0000000000331966E-3</v>
      </c>
      <c r="BX53" s="370">
        <f t="shared" ref="BX53" si="214">BQ53+BQ54</f>
        <v>0</v>
      </c>
      <c r="BY53" s="370">
        <f t="shared" ref="BY53" si="215">BW53-BX53</f>
        <v>1.0000000000331966E-3</v>
      </c>
      <c r="BZ53" s="372">
        <f t="shared" ref="BZ53" si="216">BX53/BW53</f>
        <v>0</v>
      </c>
    </row>
    <row r="54" spans="2:78" ht="24.75" customHeight="1" thickBot="1" x14ac:dyDescent="0.3">
      <c r="B54" s="494"/>
      <c r="C54" s="448"/>
      <c r="D54" s="444"/>
      <c r="E54" s="411"/>
      <c r="F54" s="333" t="s">
        <v>14</v>
      </c>
      <c r="G54" s="75">
        <v>2.4980152000000002E-3</v>
      </c>
      <c r="H54" s="90">
        <f t="shared" ref="H54" si="217">$U$31*G54</f>
        <v>3.5771577664000005</v>
      </c>
      <c r="I54" s="307"/>
      <c r="J54" s="91">
        <f>H54+I54+L53</f>
        <v>1.421713629600001</v>
      </c>
      <c r="K54" s="69">
        <v>1.333</v>
      </c>
      <c r="L54" s="91">
        <f t="shared" si="138"/>
        <v>8.8713629600001065E-2</v>
      </c>
      <c r="M54" s="143">
        <f t="shared" si="139"/>
        <v>0.93760091501341192</v>
      </c>
      <c r="N54" s="292" t="s">
        <v>410</v>
      </c>
      <c r="O54" s="407"/>
      <c r="P54" s="403"/>
      <c r="Q54" s="403"/>
      <c r="R54" s="403"/>
      <c r="S54" s="403"/>
      <c r="T54" s="396"/>
      <c r="V54" s="400"/>
      <c r="W54" s="380"/>
      <c r="X54" s="380"/>
      <c r="Y54" s="85" t="s">
        <v>14</v>
      </c>
      <c r="Z54" s="75">
        <v>1.6824903700000001E-2</v>
      </c>
      <c r="AA54" s="91">
        <f>$U$31*Z54</f>
        <v>24.0932620984</v>
      </c>
      <c r="AB54" s="307">
        <f>-24.093</f>
        <v>-24.093</v>
      </c>
      <c r="AC54" s="91">
        <f>AA54+AB54+AE53</f>
        <v>9.7215099998493315E-5</v>
      </c>
      <c r="AD54" s="69"/>
      <c r="AE54" s="91">
        <f t="shared" si="6"/>
        <v>9.7215099998493315E-5</v>
      </c>
      <c r="AF54" s="143">
        <f t="shared" si="172"/>
        <v>0</v>
      </c>
      <c r="AG54" s="398"/>
      <c r="AH54" s="393"/>
      <c r="AI54" s="386"/>
      <c r="AJ54" s="386"/>
      <c r="AK54" s="386"/>
      <c r="AL54" s="386"/>
      <c r="AM54" s="389"/>
      <c r="AO54" s="423"/>
      <c r="AP54" s="382"/>
      <c r="AQ54" s="419"/>
      <c r="AR54" s="86" t="s">
        <v>14</v>
      </c>
      <c r="AS54" s="68">
        <v>1.6476685500000001E-2</v>
      </c>
      <c r="AT54" s="91">
        <f>$U$31*AS54</f>
        <v>23.594613636000002</v>
      </c>
      <c r="AU54" s="307">
        <f>-21.958-1.637</f>
        <v>-23.594999999999999</v>
      </c>
      <c r="AV54" s="91">
        <f>AT54+AU54+AX53</f>
        <v>3.7216500007986042E-5</v>
      </c>
      <c r="AW54" s="69"/>
      <c r="AX54" s="91">
        <f t="shared" si="2"/>
        <v>3.7216500007986042E-5</v>
      </c>
      <c r="AY54" s="143">
        <f t="shared" si="3"/>
        <v>0</v>
      </c>
      <c r="AZ54" s="281">
        <v>43257</v>
      </c>
      <c r="BA54" s="385"/>
      <c r="BB54" s="384"/>
      <c r="BC54" s="384"/>
      <c r="BD54" s="384"/>
      <c r="BE54" s="384"/>
      <c r="BF54" s="376"/>
      <c r="BG54" s="233"/>
      <c r="BI54" s="458"/>
      <c r="BJ54" s="381"/>
      <c r="BK54" s="378"/>
      <c r="BL54" s="86" t="s">
        <v>14</v>
      </c>
      <c r="BM54" s="68">
        <v>5.9070873500000003E-2</v>
      </c>
      <c r="BN54" s="112">
        <v>85.441000000000003</v>
      </c>
      <c r="BO54" s="307">
        <f>-77.704-7.736</f>
        <v>-85.44</v>
      </c>
      <c r="BP54" s="91">
        <f>BN54+BO54+BR53</f>
        <v>1.0000000000047748E-3</v>
      </c>
      <c r="BQ54" s="69"/>
      <c r="BR54" s="91">
        <f t="shared" si="8"/>
        <v>1.0000000000047748E-3</v>
      </c>
      <c r="BS54" s="143">
        <f t="shared" si="4"/>
        <v>0</v>
      </c>
      <c r="BT54" s="383"/>
      <c r="BU54" s="375"/>
      <c r="BV54" s="371"/>
      <c r="BW54" s="371"/>
      <c r="BX54" s="371"/>
      <c r="BY54" s="371"/>
      <c r="BZ54" s="373"/>
    </row>
    <row r="55" spans="2:78" ht="25.5" customHeight="1" x14ac:dyDescent="0.25">
      <c r="B55" s="494"/>
      <c r="C55" s="448"/>
      <c r="D55" s="443" t="s">
        <v>75</v>
      </c>
      <c r="E55" s="410" t="s">
        <v>223</v>
      </c>
      <c r="F55" s="333" t="s">
        <v>13</v>
      </c>
      <c r="G55" s="73">
        <v>1.4015631E-3</v>
      </c>
      <c r="H55" s="90">
        <f t="shared" ref="H55" si="218">$U$29*G55</f>
        <v>3.4912936821000002</v>
      </c>
      <c r="I55" s="307"/>
      <c r="J55" s="91">
        <f>H55+I55</f>
        <v>3.4912936821000002</v>
      </c>
      <c r="K55" s="340">
        <v>3.92</v>
      </c>
      <c r="L55" s="91">
        <f>J55-K55</f>
        <v>-0.42870631789999969</v>
      </c>
      <c r="M55" s="143">
        <f t="shared" si="58"/>
        <v>1.1227929692933005</v>
      </c>
      <c r="N55" s="292" t="s">
        <v>410</v>
      </c>
      <c r="O55" s="406">
        <f t="shared" ref="O55" si="219">H55+H56</f>
        <v>5.4983320413000003</v>
      </c>
      <c r="P55" s="405">
        <f t="shared" ref="P55" si="220">I55+I56</f>
        <v>0</v>
      </c>
      <c r="Q55" s="402">
        <f t="shared" ref="Q55" si="221">O55+P55</f>
        <v>5.4983320413000003</v>
      </c>
      <c r="R55" s="404">
        <f t="shared" ref="R55" si="222">K55+K56</f>
        <v>5.4980000000000002</v>
      </c>
      <c r="S55" s="402">
        <f t="shared" ref="S55" si="223">Q55-R55</f>
        <v>3.3204130000008547E-4</v>
      </c>
      <c r="T55" s="395">
        <f t="shared" ref="T55" si="224">R55/Q55</f>
        <v>0.99993961054052283</v>
      </c>
      <c r="V55" s="400"/>
      <c r="W55" s="379" t="s">
        <v>76</v>
      </c>
      <c r="X55" s="379" t="s">
        <v>250</v>
      </c>
      <c r="Y55" s="100" t="s">
        <v>13</v>
      </c>
      <c r="Z55" s="75">
        <v>3.1669227299999998E-2</v>
      </c>
      <c r="AA55" s="91">
        <f>$U$29*Z55</f>
        <v>78.888045204299999</v>
      </c>
      <c r="AB55" s="307">
        <f>-78.888</f>
        <v>-78.888000000000005</v>
      </c>
      <c r="AC55" s="91">
        <f>AA55+AB55</f>
        <v>4.5204299993883978E-5</v>
      </c>
      <c r="AD55" s="69"/>
      <c r="AE55" s="91">
        <f>AC55-AD55</f>
        <v>4.5204299993883978E-5</v>
      </c>
      <c r="AF55" s="143">
        <f>AD55/AC55</f>
        <v>0</v>
      </c>
      <c r="AG55" s="455">
        <v>43166</v>
      </c>
      <c r="AH55" s="393">
        <f t="shared" ref="AH55" si="225">AA55+AA56</f>
        <v>124.2383786979</v>
      </c>
      <c r="AI55" s="386">
        <f t="shared" ref="AI55" si="226">AB55+AB56</f>
        <v>-124.23400000000001</v>
      </c>
      <c r="AJ55" s="386">
        <f t="shared" ref="AJ55" si="227">AH55+AI55</f>
        <v>4.3786978999946768E-3</v>
      </c>
      <c r="AK55" s="386">
        <f t="shared" ref="AK55" si="228">AD55+AD56</f>
        <v>0</v>
      </c>
      <c r="AL55" s="386">
        <f t="shared" ref="AL55" si="229">AJ55-AK55</f>
        <v>4.3786978999946768E-3</v>
      </c>
      <c r="AM55" s="389">
        <f t="shared" ref="AM55" si="230">AK55/AJ55</f>
        <v>0</v>
      </c>
      <c r="AO55" s="423"/>
      <c r="AP55" s="382" t="s">
        <v>77</v>
      </c>
      <c r="AQ55" s="379" t="s">
        <v>263</v>
      </c>
      <c r="AR55" s="86" t="s">
        <v>13</v>
      </c>
      <c r="AS55" s="290">
        <v>4.7467391800000001E-2</v>
      </c>
      <c r="AT55" s="91">
        <v>186.21299999999999</v>
      </c>
      <c r="AU55" s="307"/>
      <c r="AV55" s="91">
        <f>AT55+AU55</f>
        <v>186.21299999999999</v>
      </c>
      <c r="AW55" s="69">
        <v>92.281000000000006</v>
      </c>
      <c r="AX55" s="91">
        <f t="shared" si="2"/>
        <v>93.931999999999988</v>
      </c>
      <c r="AY55" s="143">
        <f t="shared" si="3"/>
        <v>0.49556690456627628</v>
      </c>
      <c r="AZ55" s="282" t="s">
        <v>410</v>
      </c>
      <c r="BA55" s="385">
        <f t="shared" ref="BA55" si="231">AT55+AT56</f>
        <v>186.214</v>
      </c>
      <c r="BB55" s="384">
        <f t="shared" ref="BB55" si="232">AU55+AU56</f>
        <v>0</v>
      </c>
      <c r="BC55" s="384">
        <f t="shared" ref="BC55" si="233">BA55-BB55</f>
        <v>186.214</v>
      </c>
      <c r="BD55" s="384">
        <f t="shared" ref="BD55" si="234">AW55+AW56</f>
        <v>181.10300000000001</v>
      </c>
      <c r="BE55" s="384">
        <f t="shared" ref="BE55" si="235">BC55-BD55</f>
        <v>5.11099999999999</v>
      </c>
      <c r="BF55" s="376">
        <f t="shared" ref="BF55" si="236">BD55/BC55</f>
        <v>0.97255308408605157</v>
      </c>
      <c r="BG55" s="233"/>
      <c r="BI55" s="458"/>
      <c r="BJ55" s="382" t="s">
        <v>78</v>
      </c>
      <c r="BK55" s="379" t="s">
        <v>275</v>
      </c>
      <c r="BL55" s="86" t="s">
        <v>13</v>
      </c>
      <c r="BM55" s="68">
        <v>1.14960093E-2</v>
      </c>
      <c r="BN55" s="112">
        <v>27.155999999999999</v>
      </c>
      <c r="BO55" s="307">
        <f>-23.859</f>
        <v>-23.859000000000002</v>
      </c>
      <c r="BP55" s="91">
        <f>BN55+BO55</f>
        <v>3.296999999999997</v>
      </c>
      <c r="BQ55" s="69">
        <v>4.7779999999999996</v>
      </c>
      <c r="BR55" s="91">
        <f t="shared" si="8"/>
        <v>-1.4810000000000025</v>
      </c>
      <c r="BS55" s="143">
        <f>BQ55/BP55</f>
        <v>1.4491962390051574</v>
      </c>
      <c r="BT55" s="322">
        <v>43166</v>
      </c>
      <c r="BU55" s="374">
        <f t="shared" ref="BU55" si="237">BN55+BN56</f>
        <v>42.765999999999998</v>
      </c>
      <c r="BV55" s="370">
        <f t="shared" ref="BV55" si="238">BO55+BO56</f>
        <v>-36.545999999999999</v>
      </c>
      <c r="BW55" s="370">
        <f t="shared" ref="BW55" si="239">BU55+BV55</f>
        <v>6.2199999999999989</v>
      </c>
      <c r="BX55" s="370">
        <f t="shared" ref="BX55" si="240">BQ55+BQ56</f>
        <v>6.1669999999999998</v>
      </c>
      <c r="BY55" s="370">
        <f t="shared" ref="BY55" si="241">BW55-BX55</f>
        <v>5.2999999999999048E-2</v>
      </c>
      <c r="BZ55" s="372">
        <f t="shared" ref="BZ55" si="242">BX55/BW55</f>
        <v>0.99147909967845671</v>
      </c>
    </row>
    <row r="56" spans="2:78" ht="24" customHeight="1" thickBot="1" x14ac:dyDescent="0.3">
      <c r="B56" s="494"/>
      <c r="C56" s="448"/>
      <c r="D56" s="444"/>
      <c r="E56" s="411"/>
      <c r="F56" s="333" t="s">
        <v>14</v>
      </c>
      <c r="G56" s="73">
        <v>1.4015631E-3</v>
      </c>
      <c r="H56" s="90">
        <f t="shared" ref="H56" si="243">$U$31*G56</f>
        <v>2.0070383592000001</v>
      </c>
      <c r="I56" s="307"/>
      <c r="J56" s="91">
        <f>H56+I56+L55</f>
        <v>1.5783320413000004</v>
      </c>
      <c r="K56" s="69">
        <v>1.5780000000000001</v>
      </c>
      <c r="L56" s="91">
        <f t="shared" si="5"/>
        <v>3.3204130000030752E-4</v>
      </c>
      <c r="M56" s="143">
        <f t="shared" si="58"/>
        <v>0.99978962519209402</v>
      </c>
      <c r="N56" s="292" t="s">
        <v>410</v>
      </c>
      <c r="O56" s="407"/>
      <c r="P56" s="403"/>
      <c r="Q56" s="403"/>
      <c r="R56" s="403"/>
      <c r="S56" s="403"/>
      <c r="T56" s="396"/>
      <c r="V56" s="400"/>
      <c r="W56" s="380"/>
      <c r="X56" s="380"/>
      <c r="Y56" s="85" t="s">
        <v>14</v>
      </c>
      <c r="Z56" s="75">
        <v>3.1669227299999998E-2</v>
      </c>
      <c r="AA56" s="91">
        <f>$U$31*Z56</f>
        <v>45.350333493599997</v>
      </c>
      <c r="AB56" s="307">
        <f>-42.609-2.737</f>
        <v>-45.346000000000004</v>
      </c>
      <c r="AC56" s="91">
        <f>AA56+AB56+AE55</f>
        <v>4.3786978999875714E-3</v>
      </c>
      <c r="AD56" s="69"/>
      <c r="AE56" s="91">
        <f>AC56-AD56</f>
        <v>4.3786978999875714E-3</v>
      </c>
      <c r="AF56" s="143">
        <f>AD56/AC56</f>
        <v>0</v>
      </c>
      <c r="AG56" s="455"/>
      <c r="AH56" s="393"/>
      <c r="AI56" s="386"/>
      <c r="AJ56" s="386"/>
      <c r="AK56" s="386"/>
      <c r="AL56" s="386"/>
      <c r="AM56" s="389"/>
      <c r="AO56" s="423"/>
      <c r="AP56" s="382"/>
      <c r="AQ56" s="380"/>
      <c r="AR56" s="86" t="s">
        <v>14</v>
      </c>
      <c r="AS56" s="290">
        <v>4.7467391800000001E-2</v>
      </c>
      <c r="AT56" s="91">
        <v>1E-3</v>
      </c>
      <c r="AU56" s="307"/>
      <c r="AV56" s="91">
        <f>AT56+AU56+AX55</f>
        <v>93.932999999999993</v>
      </c>
      <c r="AW56" s="69">
        <v>88.822000000000003</v>
      </c>
      <c r="AX56" s="91">
        <f t="shared" si="2"/>
        <v>5.11099999999999</v>
      </c>
      <c r="AY56" s="143">
        <f t="shared" si="3"/>
        <v>0.94558887717841456</v>
      </c>
      <c r="AZ56" s="282" t="s">
        <v>410</v>
      </c>
      <c r="BA56" s="385"/>
      <c r="BB56" s="384"/>
      <c r="BC56" s="384"/>
      <c r="BD56" s="384"/>
      <c r="BE56" s="384"/>
      <c r="BF56" s="376"/>
      <c r="BG56" s="233"/>
      <c r="BI56" s="458"/>
      <c r="BJ56" s="382"/>
      <c r="BK56" s="380"/>
      <c r="BL56" s="86" t="s">
        <v>14</v>
      </c>
      <c r="BM56" s="68">
        <v>1.14960093E-2</v>
      </c>
      <c r="BN56" s="112">
        <v>15.61</v>
      </c>
      <c r="BO56" s="307">
        <f>-12.687</f>
        <v>-12.686999999999999</v>
      </c>
      <c r="BP56" s="91">
        <f>BN56+BO56+BR55</f>
        <v>1.4419999999999975</v>
      </c>
      <c r="BQ56" s="69">
        <v>1.389</v>
      </c>
      <c r="BR56" s="91">
        <f t="shared" si="8"/>
        <v>5.2999999999997494E-2</v>
      </c>
      <c r="BS56" s="143">
        <f t="shared" si="4"/>
        <v>0.96324549237170765</v>
      </c>
      <c r="BT56" s="323" t="s">
        <v>410</v>
      </c>
      <c r="BU56" s="375"/>
      <c r="BV56" s="371"/>
      <c r="BW56" s="371"/>
      <c r="BX56" s="371"/>
      <c r="BY56" s="371"/>
      <c r="BZ56" s="373"/>
    </row>
    <row r="57" spans="2:78" ht="24" customHeight="1" x14ac:dyDescent="0.25">
      <c r="B57" s="494"/>
      <c r="C57" s="448"/>
      <c r="D57" s="443" t="s">
        <v>79</v>
      </c>
      <c r="E57" s="410">
        <v>4650</v>
      </c>
      <c r="F57" s="414" t="s">
        <v>13</v>
      </c>
      <c r="G57" s="73">
        <v>4.7307310000000002E-3</v>
      </c>
      <c r="H57" s="92">
        <f t="shared" ref="H57" si="244">$U$29*G57</f>
        <v>11.784250921</v>
      </c>
      <c r="I57" s="93">
        <f>-18.559</f>
        <v>-18.559000000000001</v>
      </c>
      <c r="J57" s="92">
        <f>H57+I57</f>
        <v>-6.7747490790000011</v>
      </c>
      <c r="K57" s="93"/>
      <c r="L57" s="300">
        <f>J57-K57</f>
        <v>-6.7747490790000011</v>
      </c>
      <c r="M57" s="143">
        <f t="shared" si="58"/>
        <v>0</v>
      </c>
      <c r="N57" s="412">
        <v>43166</v>
      </c>
      <c r="O57" s="406">
        <f t="shared" ref="O57" si="245">H57+H58</f>
        <v>18.558657713000002</v>
      </c>
      <c r="P57" s="405">
        <f t="shared" ref="P57" si="246">I57+I58</f>
        <v>-18.559000000000001</v>
      </c>
      <c r="Q57" s="402">
        <f t="shared" ref="Q57" si="247">O57+P57</f>
        <v>-3.4228699999871992E-4</v>
      </c>
      <c r="R57" s="404">
        <f t="shared" ref="R57" si="248">K57+K58</f>
        <v>0</v>
      </c>
      <c r="S57" s="402">
        <f t="shared" ref="S57" si="249">Q57-R57</f>
        <v>-3.4228699999871992E-4</v>
      </c>
      <c r="T57" s="395">
        <f t="shared" ref="T57" si="250">R57/Q57</f>
        <v>0</v>
      </c>
      <c r="V57" s="400"/>
      <c r="W57" s="377" t="s">
        <v>80</v>
      </c>
      <c r="X57" s="377" t="s">
        <v>251</v>
      </c>
      <c r="Y57" s="100" t="s">
        <v>13</v>
      </c>
      <c r="Z57" s="73">
        <v>1.83231378E-2</v>
      </c>
      <c r="AA57" s="91">
        <f>$U$29*Z57</f>
        <v>45.642936259800003</v>
      </c>
      <c r="AB57" s="307">
        <f>-45.643</f>
        <v>-45.643000000000001</v>
      </c>
      <c r="AC57" s="91">
        <f>AA57+AB57</f>
        <v>-6.3740199998107983E-5</v>
      </c>
      <c r="AD57" s="69"/>
      <c r="AE57" s="91">
        <f t="shared" si="6"/>
        <v>-6.3740199998107983E-5</v>
      </c>
      <c r="AF57" s="143">
        <f t="shared" si="172"/>
        <v>0</v>
      </c>
      <c r="AG57" s="398">
        <v>43166</v>
      </c>
      <c r="AH57" s="393">
        <f t="shared" ref="AH57" si="251">AA57+AA58</f>
        <v>71.881669589400005</v>
      </c>
      <c r="AI57" s="386">
        <f t="shared" ref="AI57" si="252">AB57+AB58</f>
        <v>-71.882000000000005</v>
      </c>
      <c r="AJ57" s="386">
        <f t="shared" ref="AJ57" si="253">AH57+AI57</f>
        <v>-3.3041060000016387E-4</v>
      </c>
      <c r="AK57" s="386">
        <f t="shared" ref="AK57" si="254">AD57+AD58</f>
        <v>0</v>
      </c>
      <c r="AL57" s="386">
        <f t="shared" ref="AL57" si="255">AJ57-AK57</f>
        <v>-3.3041060000016387E-4</v>
      </c>
      <c r="AM57" s="389">
        <f t="shared" ref="AM57" si="256">AK57/AJ57</f>
        <v>0</v>
      </c>
      <c r="AO57" s="423"/>
      <c r="AP57" s="382" t="s">
        <v>81</v>
      </c>
      <c r="AQ57" s="379" t="s">
        <v>264</v>
      </c>
      <c r="AR57" s="86" t="s">
        <v>13</v>
      </c>
      <c r="AS57" s="54">
        <v>5.2291431999999999E-2</v>
      </c>
      <c r="AT57" s="91">
        <f>$U$29*AS57</f>
        <v>130.25795711199999</v>
      </c>
      <c r="AU57" s="307"/>
      <c r="AV57" s="91">
        <f>AT57+AU57</f>
        <v>130.25795711199999</v>
      </c>
      <c r="AW57" s="340">
        <v>89.453000000000003</v>
      </c>
      <c r="AX57" s="91">
        <f>AV57-AW57</f>
        <v>40.804957111999983</v>
      </c>
      <c r="AY57" s="143">
        <f>AW57/AV57</f>
        <v>0.68673731711518726</v>
      </c>
      <c r="AZ57" s="282" t="s">
        <v>410</v>
      </c>
      <c r="BA57" s="385">
        <f t="shared" ref="BA57" si="257">AT57+AT58</f>
        <v>205.13928773599997</v>
      </c>
      <c r="BB57" s="384">
        <f t="shared" ref="BB57" si="258">AU57+AU58</f>
        <v>0</v>
      </c>
      <c r="BC57" s="384">
        <f t="shared" ref="BC57" si="259">BA57-BB57</f>
        <v>205.13928773599997</v>
      </c>
      <c r="BD57" s="384">
        <f t="shared" ref="BD57" si="260">AW57+AW58</f>
        <v>197.822</v>
      </c>
      <c r="BE57" s="384">
        <f t="shared" ref="BE57" si="261">BC57-BD57</f>
        <v>7.3172877359999688</v>
      </c>
      <c r="BF57" s="376">
        <f t="shared" ref="BF57" si="262">BD57/BC57</f>
        <v>0.96433014944744855</v>
      </c>
      <c r="BG57" s="233"/>
      <c r="BI57" s="458"/>
      <c r="BJ57" s="381" t="s">
        <v>423</v>
      </c>
      <c r="BK57" s="377" t="s">
        <v>422</v>
      </c>
      <c r="BL57" s="86" t="s">
        <v>13</v>
      </c>
      <c r="BM57" s="68">
        <v>3.7086950000000001E-3</v>
      </c>
      <c r="BN57" s="112">
        <f>$U$29*BM57</f>
        <v>9.2383592449999998</v>
      </c>
      <c r="BO57" s="307">
        <f>-9.238</f>
        <v>-9.2379999999999995</v>
      </c>
      <c r="BP57" s="91">
        <f>BN57+BO57</f>
        <v>3.5924500000028559E-4</v>
      </c>
      <c r="BQ57" s="69"/>
      <c r="BR57" s="91">
        <f>BP57-BQ57</f>
        <v>3.5924500000028559E-4</v>
      </c>
      <c r="BS57" s="143">
        <f t="shared" si="4"/>
        <v>0</v>
      </c>
      <c r="BT57" s="260">
        <v>43154</v>
      </c>
      <c r="BU57" s="374">
        <f t="shared" ref="BU57" si="263">BN57+BN58</f>
        <v>14.549210485</v>
      </c>
      <c r="BV57" s="370">
        <f t="shared" ref="BV57" si="264">BO57+BO58</f>
        <v>-14.548999999999999</v>
      </c>
      <c r="BW57" s="370">
        <f t="shared" ref="BW57" si="265">BU57+BV57</f>
        <v>2.1048500000020454E-4</v>
      </c>
      <c r="BX57" s="370">
        <f t="shared" ref="BX57" si="266">BQ57+BQ58</f>
        <v>0</v>
      </c>
      <c r="BY57" s="370">
        <f t="shared" ref="BY57" si="267">BW57-BX57</f>
        <v>2.1048500000020454E-4</v>
      </c>
      <c r="BZ57" s="372">
        <f t="shared" ref="BZ57" si="268">BX57/BW57</f>
        <v>0</v>
      </c>
    </row>
    <row r="58" spans="2:78" ht="22.5" customHeight="1" thickBot="1" x14ac:dyDescent="0.3">
      <c r="B58" s="494"/>
      <c r="C58" s="448"/>
      <c r="D58" s="444"/>
      <c r="E58" s="411"/>
      <c r="F58" s="414" t="s">
        <v>14</v>
      </c>
      <c r="G58" s="73">
        <v>4.7307310000000002E-3</v>
      </c>
      <c r="H58" s="92">
        <f t="shared" ref="H58" si="269">$U$31*G58</f>
        <v>6.7744067920000006</v>
      </c>
      <c r="I58" s="93"/>
      <c r="J58" s="92">
        <f>H58+I58+L57</f>
        <v>-3.4228700000049628E-4</v>
      </c>
      <c r="K58" s="93"/>
      <c r="L58" s="300">
        <f>J58-K58</f>
        <v>-3.4228700000049628E-4</v>
      </c>
      <c r="M58" s="143">
        <f t="shared" si="58"/>
        <v>0</v>
      </c>
      <c r="N58" s="413"/>
      <c r="O58" s="407"/>
      <c r="P58" s="403"/>
      <c r="Q58" s="403"/>
      <c r="R58" s="403"/>
      <c r="S58" s="403"/>
      <c r="T58" s="396"/>
      <c r="V58" s="400"/>
      <c r="W58" s="378"/>
      <c r="X58" s="378"/>
      <c r="Y58" s="85" t="s">
        <v>14</v>
      </c>
      <c r="Z58" s="73">
        <v>1.83231378E-2</v>
      </c>
      <c r="AA58" s="91">
        <f>$U$31*Z58</f>
        <v>26.238733329599999</v>
      </c>
      <c r="AB58" s="307">
        <f>-26.239</f>
        <v>-26.239000000000001</v>
      </c>
      <c r="AC58" s="91">
        <f>AA58+AB58+AE57</f>
        <v>-3.3041060000016387E-4</v>
      </c>
      <c r="AD58" s="69"/>
      <c r="AE58" s="91">
        <f t="shared" si="6"/>
        <v>-3.3041060000016387E-4</v>
      </c>
      <c r="AF58" s="143">
        <f t="shared" si="172"/>
        <v>0</v>
      </c>
      <c r="AG58" s="398"/>
      <c r="AH58" s="393"/>
      <c r="AI58" s="386"/>
      <c r="AJ58" s="386"/>
      <c r="AK58" s="386"/>
      <c r="AL58" s="386"/>
      <c r="AM58" s="389"/>
      <c r="AO58" s="423"/>
      <c r="AP58" s="382"/>
      <c r="AQ58" s="380"/>
      <c r="AR58" s="86" t="s">
        <v>14</v>
      </c>
      <c r="AS58" s="54">
        <v>5.2291431999999999E-2</v>
      </c>
      <c r="AT58" s="91">
        <f>$U$31*AS58</f>
        <v>74.881330624</v>
      </c>
      <c r="AU58" s="307"/>
      <c r="AV58" s="91">
        <f>AT58+AU58+AX57</f>
        <v>115.68628773599998</v>
      </c>
      <c r="AW58" s="69">
        <v>108.369</v>
      </c>
      <c r="AX58" s="91">
        <f>AV58-AW58</f>
        <v>7.3172877359999831</v>
      </c>
      <c r="AY58" s="143">
        <f>AW58/AV58</f>
        <v>0.93674887595409506</v>
      </c>
      <c r="AZ58" s="280" t="s">
        <v>410</v>
      </c>
      <c r="BA58" s="385"/>
      <c r="BB58" s="384"/>
      <c r="BC58" s="384"/>
      <c r="BD58" s="384"/>
      <c r="BE58" s="384"/>
      <c r="BF58" s="376"/>
      <c r="BG58" s="233"/>
      <c r="BI58" s="458"/>
      <c r="BJ58" s="381"/>
      <c r="BK58" s="378"/>
      <c r="BL58" s="86" t="s">
        <v>14</v>
      </c>
      <c r="BM58" s="68">
        <v>3.7086950000000001E-3</v>
      </c>
      <c r="BN58" s="112">
        <f>$U$31*BM58</f>
        <v>5.3108512399999999</v>
      </c>
      <c r="BO58" s="307">
        <f>-5.311</f>
        <v>-5.3109999999999999</v>
      </c>
      <c r="BP58" s="91">
        <f>BN58+BO58+BR57</f>
        <v>2.1048500000020454E-4</v>
      </c>
      <c r="BQ58" s="69"/>
      <c r="BR58" s="91">
        <f>BP58-BQ58</f>
        <v>2.1048500000020454E-4</v>
      </c>
      <c r="BS58" s="143">
        <f t="shared" si="4"/>
        <v>0</v>
      </c>
      <c r="BT58" s="260">
        <v>43166</v>
      </c>
      <c r="BU58" s="375"/>
      <c r="BV58" s="371"/>
      <c r="BW58" s="371"/>
      <c r="BX58" s="371"/>
      <c r="BY58" s="371"/>
      <c r="BZ58" s="373"/>
    </row>
    <row r="59" spans="2:78" ht="22.5" customHeight="1" x14ac:dyDescent="0.25">
      <c r="B59" s="494"/>
      <c r="C59" s="448"/>
      <c r="D59" s="443" t="s">
        <v>82</v>
      </c>
      <c r="E59" s="410" t="s">
        <v>224</v>
      </c>
      <c r="F59" s="333" t="s">
        <v>13</v>
      </c>
      <c r="G59" s="73">
        <v>4.7939539999999996E-3</v>
      </c>
      <c r="H59" s="91">
        <f t="shared" ref="H59" si="270">$U$29*G59</f>
        <v>11.941739413999999</v>
      </c>
      <c r="I59" s="307"/>
      <c r="J59" s="91">
        <f>H59+I59</f>
        <v>11.941739413999999</v>
      </c>
      <c r="K59" s="340">
        <v>8.6690000000000005</v>
      </c>
      <c r="L59" s="91">
        <f>J59-K59</f>
        <v>3.2727394139999983</v>
      </c>
      <c r="M59" s="143">
        <f>K59/J59</f>
        <v>0.72594114638247975</v>
      </c>
      <c r="N59" s="292" t="s">
        <v>410</v>
      </c>
      <c r="O59" s="406">
        <f t="shared" ref="O59" si="271">H59+H60</f>
        <v>18.806681542</v>
      </c>
      <c r="P59" s="405">
        <f t="shared" ref="P59" si="272">I59+I60</f>
        <v>0</v>
      </c>
      <c r="Q59" s="402">
        <f t="shared" ref="Q59" si="273">O59+P59</f>
        <v>18.806681542</v>
      </c>
      <c r="R59" s="404">
        <f t="shared" ref="R59" si="274">K59+K60</f>
        <v>18.782</v>
      </c>
      <c r="S59" s="402">
        <f t="shared" ref="S59" si="275">Q59-R59</f>
        <v>2.4681541999999723E-2</v>
      </c>
      <c r="T59" s="395">
        <f t="shared" ref="T59" si="276">R59/Q59</f>
        <v>0.99868761844321763</v>
      </c>
      <c r="V59" s="400"/>
      <c r="W59" s="379" t="s">
        <v>83</v>
      </c>
      <c r="X59" s="379" t="s">
        <v>252</v>
      </c>
      <c r="Y59" s="100" t="s">
        <v>13</v>
      </c>
      <c r="Z59" s="75">
        <v>9.5119834E-3</v>
      </c>
      <c r="AA59" s="91">
        <f>$U$29*Z59</f>
        <v>23.6943506494</v>
      </c>
      <c r="AB59" s="307">
        <f>-23.694</f>
        <v>-23.693999999999999</v>
      </c>
      <c r="AC59" s="91">
        <f>AA59+AB59</f>
        <v>3.5064940000140155E-4</v>
      </c>
      <c r="AD59" s="69"/>
      <c r="AE59" s="91">
        <f t="shared" si="6"/>
        <v>3.5064940000140155E-4</v>
      </c>
      <c r="AF59" s="143">
        <v>0</v>
      </c>
      <c r="AG59" s="398">
        <v>43166</v>
      </c>
      <c r="AH59" s="393">
        <f t="shared" ref="AH59" si="277">AA59+AA60</f>
        <v>37.315510878200001</v>
      </c>
      <c r="AI59" s="386">
        <f t="shared" ref="AI59" si="278">AB59+AB60</f>
        <v>-37.314999999999998</v>
      </c>
      <c r="AJ59" s="386">
        <f t="shared" ref="AJ59" si="279">AH59+AI59</f>
        <v>5.1087820000361717E-4</v>
      </c>
      <c r="AK59" s="386">
        <f t="shared" ref="AK59" si="280">AD59+AD60</f>
        <v>0</v>
      </c>
      <c r="AL59" s="386">
        <f t="shared" ref="AL59" si="281">AJ59-AK59</f>
        <v>5.1087820000361717E-4</v>
      </c>
      <c r="AM59" s="389">
        <f t="shared" ref="AM59" si="282">AK59/AJ59</f>
        <v>0</v>
      </c>
      <c r="AO59" s="423"/>
      <c r="AP59" s="382" t="s">
        <v>186</v>
      </c>
      <c r="AQ59" s="379" t="s">
        <v>265</v>
      </c>
      <c r="AR59" s="86" t="s">
        <v>13</v>
      </c>
      <c r="AS59" s="54">
        <v>5.951998E-3</v>
      </c>
      <c r="AT59" s="91">
        <f>$U$29*AS59</f>
        <v>14.826427018</v>
      </c>
      <c r="AU59" s="307"/>
      <c r="AV59" s="91">
        <f>AT59+AU59</f>
        <v>14.826427018</v>
      </c>
      <c r="AW59" s="340">
        <v>2.3199999999999998</v>
      </c>
      <c r="AX59" s="91">
        <f t="shared" si="2"/>
        <v>12.506427018</v>
      </c>
      <c r="AY59" s="143">
        <f t="shared" si="3"/>
        <v>0.15647734934272481</v>
      </c>
      <c r="AZ59" s="280" t="s">
        <v>410</v>
      </c>
      <c r="BA59" s="385">
        <f t="shared" ref="BA59" si="283">AT59+AT60</f>
        <v>23.349688153999999</v>
      </c>
      <c r="BB59" s="384">
        <f t="shared" ref="BB59" si="284">AU59+AU60</f>
        <v>0</v>
      </c>
      <c r="BC59" s="384">
        <f t="shared" ref="BC59" si="285">BA59-BB59</f>
        <v>23.349688153999999</v>
      </c>
      <c r="BD59" s="384">
        <f t="shared" ref="BD59" si="286">AW59+AW60</f>
        <v>22.559000000000001</v>
      </c>
      <c r="BE59" s="384">
        <f t="shared" ref="BE59" si="287">BC59-BD59</f>
        <v>0.79068815399999792</v>
      </c>
      <c r="BF59" s="376">
        <f t="shared" ref="BF59" si="288">BD59/BC59</f>
        <v>0.96613710004240261</v>
      </c>
      <c r="BG59" s="233"/>
      <c r="BI59" s="458"/>
      <c r="BJ59" s="381" t="s">
        <v>85</v>
      </c>
      <c r="BK59" s="377" t="s">
        <v>276</v>
      </c>
      <c r="BL59" s="86" t="s">
        <v>13</v>
      </c>
      <c r="BM59" s="68">
        <v>6.0805267E-3</v>
      </c>
      <c r="BN59" s="112">
        <f>$U$29*BM59</f>
        <v>15.146592009699999</v>
      </c>
      <c r="BO59" s="307">
        <f>-15.147-2.222</f>
        <v>-17.369</v>
      </c>
      <c r="BP59" s="91">
        <f>BN59+BO59</f>
        <v>-2.2224079903000007</v>
      </c>
      <c r="BQ59" s="69"/>
      <c r="BR59" s="91">
        <f t="shared" si="8"/>
        <v>-2.2224079903000007</v>
      </c>
      <c r="BS59" s="143">
        <f t="shared" si="4"/>
        <v>0</v>
      </c>
      <c r="BT59" s="260">
        <v>43166</v>
      </c>
      <c r="BU59" s="374">
        <f t="shared" ref="BU59" si="289">BN59+BN60</f>
        <v>23.853906244099999</v>
      </c>
      <c r="BV59" s="370">
        <f t="shared" ref="BV59" si="290">BO59+BO60</f>
        <v>-23.093</v>
      </c>
      <c r="BW59" s="370">
        <f t="shared" ref="BW59" si="291">BU59+BV59</f>
        <v>0.76090624409999918</v>
      </c>
      <c r="BX59" s="370">
        <f t="shared" ref="BX59" si="292">BQ59+BQ60</f>
        <v>0.22700000000000001</v>
      </c>
      <c r="BY59" s="370">
        <f t="shared" ref="BY59" si="293">BW59-BX59</f>
        <v>0.53390624409999921</v>
      </c>
      <c r="BZ59" s="372">
        <f t="shared" ref="BZ59" si="294">BX59/BW59</f>
        <v>0.29832847576181465</v>
      </c>
    </row>
    <row r="60" spans="2:78" ht="22.5" customHeight="1" thickBot="1" x14ac:dyDescent="0.3">
      <c r="B60" s="494"/>
      <c r="C60" s="448"/>
      <c r="D60" s="444"/>
      <c r="E60" s="411"/>
      <c r="F60" s="333" t="s">
        <v>14</v>
      </c>
      <c r="G60" s="73">
        <v>4.7939539999999996E-3</v>
      </c>
      <c r="H60" s="91">
        <f t="shared" ref="H60" si="295">$U$31*G60</f>
        <v>6.8649421279999991</v>
      </c>
      <c r="I60" s="307"/>
      <c r="J60" s="91">
        <f>H60+I60+L59</f>
        <v>10.137681541999997</v>
      </c>
      <c r="K60" s="69">
        <v>10.113</v>
      </c>
      <c r="L60" s="91">
        <f>J60-K60</f>
        <v>2.4681541999997947E-2</v>
      </c>
      <c r="M60" s="143">
        <f>K60/J60</f>
        <v>0.99756536621339476</v>
      </c>
      <c r="N60" s="292" t="s">
        <v>410</v>
      </c>
      <c r="O60" s="407"/>
      <c r="P60" s="403"/>
      <c r="Q60" s="403"/>
      <c r="R60" s="403"/>
      <c r="S60" s="403"/>
      <c r="T60" s="396"/>
      <c r="V60" s="400"/>
      <c r="W60" s="380"/>
      <c r="X60" s="380"/>
      <c r="Y60" s="85" t="s">
        <v>14</v>
      </c>
      <c r="Z60" s="75">
        <v>9.5119834E-3</v>
      </c>
      <c r="AA60" s="91">
        <f>$U$31*Z60</f>
        <v>13.621160228800001</v>
      </c>
      <c r="AB60" s="307">
        <f>-13.621</f>
        <v>-13.621</v>
      </c>
      <c r="AC60" s="91">
        <f>AA60+AB60+AE59</f>
        <v>5.1087820000184081E-4</v>
      </c>
      <c r="AD60" s="69"/>
      <c r="AE60" s="91">
        <f t="shared" si="6"/>
        <v>5.1087820000184081E-4</v>
      </c>
      <c r="AF60" s="143">
        <v>0</v>
      </c>
      <c r="AG60" s="435"/>
      <c r="AH60" s="393"/>
      <c r="AI60" s="386"/>
      <c r="AJ60" s="386"/>
      <c r="AK60" s="386"/>
      <c r="AL60" s="386"/>
      <c r="AM60" s="389"/>
      <c r="AO60" s="423"/>
      <c r="AP60" s="382"/>
      <c r="AQ60" s="380"/>
      <c r="AR60" s="86" t="s">
        <v>14</v>
      </c>
      <c r="AS60" s="54">
        <v>5.951998E-3</v>
      </c>
      <c r="AT60" s="91">
        <f>$U$31*AS60</f>
        <v>8.5232611360000003</v>
      </c>
      <c r="AU60" s="307"/>
      <c r="AV60" s="91">
        <f>AT60+AU60+AX59</f>
        <v>21.029688153999999</v>
      </c>
      <c r="AW60" s="69">
        <v>20.239000000000001</v>
      </c>
      <c r="AX60" s="91">
        <f t="shared" si="2"/>
        <v>0.79068815399999792</v>
      </c>
      <c r="AY60" s="143">
        <f t="shared" si="3"/>
        <v>0.96240133718532561</v>
      </c>
      <c r="AZ60" s="280" t="s">
        <v>410</v>
      </c>
      <c r="BA60" s="385"/>
      <c r="BB60" s="384"/>
      <c r="BC60" s="384"/>
      <c r="BD60" s="384"/>
      <c r="BE60" s="384"/>
      <c r="BF60" s="376"/>
      <c r="BG60" s="233"/>
      <c r="BI60" s="458"/>
      <c r="BJ60" s="381"/>
      <c r="BK60" s="378"/>
      <c r="BL60" s="86" t="s">
        <v>14</v>
      </c>
      <c r="BM60" s="68">
        <v>6.0805267E-3</v>
      </c>
      <c r="BN60" s="112">
        <f>$U$31*BM60</f>
        <v>8.7073142344000001</v>
      </c>
      <c r="BO60" s="307">
        <f>-5.724</f>
        <v>-5.7240000000000002</v>
      </c>
      <c r="BP60" s="91">
        <f>BN60+BO60+BR59</f>
        <v>0.76090624409999918</v>
      </c>
      <c r="BQ60" s="69">
        <v>0.22700000000000001</v>
      </c>
      <c r="BR60" s="91">
        <f t="shared" si="8"/>
        <v>0.53390624409999921</v>
      </c>
      <c r="BS60" s="143">
        <f t="shared" si="4"/>
        <v>0.29832847576181465</v>
      </c>
      <c r="BT60" s="297" t="s">
        <v>410</v>
      </c>
      <c r="BU60" s="375"/>
      <c r="BV60" s="371"/>
      <c r="BW60" s="371"/>
      <c r="BX60" s="371"/>
      <c r="BY60" s="371"/>
      <c r="BZ60" s="373"/>
    </row>
    <row r="61" spans="2:78" ht="24" customHeight="1" x14ac:dyDescent="0.25">
      <c r="B61" s="494"/>
      <c r="C61" s="448"/>
      <c r="D61" s="443" t="s">
        <v>86</v>
      </c>
      <c r="E61" s="410">
        <v>4659</v>
      </c>
      <c r="F61" s="333" t="s">
        <v>13</v>
      </c>
      <c r="G61" s="73">
        <v>1.8094541000000001E-3</v>
      </c>
      <c r="H61" s="91">
        <v>5.8209999999999997</v>
      </c>
      <c r="I61" s="307"/>
      <c r="J61" s="91">
        <f>H61+I61</f>
        <v>5.8209999999999997</v>
      </c>
      <c r="K61" s="340">
        <v>3.6</v>
      </c>
      <c r="L61" s="91">
        <f t="shared" ref="L61:L80" si="296">J61-K61</f>
        <v>2.2209999999999996</v>
      </c>
      <c r="M61" s="143">
        <f t="shared" ref="M61:M86" si="297">K61/J61</f>
        <v>0.6184504380690603</v>
      </c>
      <c r="N61" s="292" t="s">
        <v>410</v>
      </c>
      <c r="O61" s="406">
        <f t="shared" ref="O61" si="298">H61+H62</f>
        <v>7.0979999999999999</v>
      </c>
      <c r="P61" s="405">
        <f t="shared" ref="P61" si="299">I61+I62</f>
        <v>0</v>
      </c>
      <c r="Q61" s="402">
        <f t="shared" ref="Q61" si="300">O61+P61</f>
        <v>7.0979999999999999</v>
      </c>
      <c r="R61" s="404">
        <f t="shared" ref="R61" si="301">K61+K62</f>
        <v>6.6959999999999997</v>
      </c>
      <c r="S61" s="402">
        <f t="shared" ref="S61" si="302">Q61-R61</f>
        <v>0.40200000000000014</v>
      </c>
      <c r="T61" s="395">
        <f t="shared" ref="T61" si="303">R61/Q61</f>
        <v>0.94336432797971259</v>
      </c>
      <c r="V61" s="400"/>
      <c r="W61" s="379" t="s">
        <v>87</v>
      </c>
      <c r="X61" s="379" t="s">
        <v>253</v>
      </c>
      <c r="Y61" s="100" t="s">
        <v>13</v>
      </c>
      <c r="Z61" s="75">
        <v>6.9147745E-3</v>
      </c>
      <c r="AA61" s="91">
        <f>$U$29*Z61</f>
        <v>17.224703279500002</v>
      </c>
      <c r="AB61" s="307">
        <f>-17.225</f>
        <v>-17.225000000000001</v>
      </c>
      <c r="AC61" s="91">
        <f>AA61+AB61</f>
        <v>-2.9672049999973638E-4</v>
      </c>
      <c r="AD61" s="69"/>
      <c r="AE61" s="91">
        <f t="shared" si="6"/>
        <v>-2.9672049999973638E-4</v>
      </c>
      <c r="AF61" s="143">
        <f t="shared" ref="AF61:AF70" si="304">AD61/AC61</f>
        <v>0</v>
      </c>
      <c r="AG61" s="269">
        <v>43154</v>
      </c>
      <c r="AH61" s="393">
        <f t="shared" ref="AH61" si="305">AA61+AA62</f>
        <v>27.126660363500001</v>
      </c>
      <c r="AI61" s="386">
        <f t="shared" ref="AI61" si="306">AB61+AB62</f>
        <v>-27.127000000000002</v>
      </c>
      <c r="AJ61" s="386">
        <f t="shared" ref="AJ61" si="307">AH61+AI61</f>
        <v>-3.3963650000146117E-4</v>
      </c>
      <c r="AK61" s="386">
        <f t="shared" ref="AK61" si="308">AD61+AD62</f>
        <v>0</v>
      </c>
      <c r="AL61" s="386">
        <f t="shared" ref="AL61" si="309">AJ61-AK61</f>
        <v>-3.3963650000146117E-4</v>
      </c>
      <c r="AM61" s="389">
        <f t="shared" ref="AM61" si="310">AK61/AJ61</f>
        <v>0</v>
      </c>
      <c r="AO61" s="423"/>
      <c r="AP61" s="382" t="s">
        <v>84</v>
      </c>
      <c r="AQ61" s="379" t="s">
        <v>266</v>
      </c>
      <c r="AR61" s="86" t="s">
        <v>13</v>
      </c>
      <c r="AS61" s="54">
        <v>1.6682712000000001E-3</v>
      </c>
      <c r="AT61" s="91">
        <f>$U$29*AS61</f>
        <v>4.1556635592000006</v>
      </c>
      <c r="AU61" s="307"/>
      <c r="AV61" s="91">
        <f>AT61+AU61</f>
        <v>4.1556635592000006</v>
      </c>
      <c r="AW61" s="69"/>
      <c r="AX61" s="91">
        <f t="shared" si="2"/>
        <v>4.1556635592000006</v>
      </c>
      <c r="AY61" s="143">
        <f t="shared" si="3"/>
        <v>0</v>
      </c>
      <c r="AZ61" s="282" t="s">
        <v>410</v>
      </c>
      <c r="BA61" s="385">
        <f t="shared" ref="BA61" si="311">AT61+AT62</f>
        <v>6.5446279176000006</v>
      </c>
      <c r="BB61" s="384">
        <f t="shared" ref="BB61" si="312">AU61+AU62</f>
        <v>0</v>
      </c>
      <c r="BC61" s="384">
        <f t="shared" ref="BC61" si="313">BA61-BB61</f>
        <v>6.5446279176000006</v>
      </c>
      <c r="BD61" s="384">
        <f t="shared" ref="BD61" si="314">AW61+AW62</f>
        <v>5.2069999999999999</v>
      </c>
      <c r="BE61" s="384">
        <f t="shared" ref="BE61" si="315">BC61-BD61</f>
        <v>1.3376279176000008</v>
      </c>
      <c r="BF61" s="376">
        <f t="shared" ref="BF61" si="316">BD61/BC61</f>
        <v>0.79561436731906277</v>
      </c>
      <c r="BG61" s="233"/>
      <c r="BI61" s="458"/>
      <c r="BJ61" s="381" t="s">
        <v>89</v>
      </c>
      <c r="BK61" s="377" t="s">
        <v>277</v>
      </c>
      <c r="BL61" s="86" t="s">
        <v>13</v>
      </c>
      <c r="BM61" s="68">
        <v>3.7391969000000001E-3</v>
      </c>
      <c r="BN61" s="112">
        <f>$U$29*BM61</f>
        <v>9.3143394779000008</v>
      </c>
      <c r="BO61" s="307">
        <f>-9.314</f>
        <v>-9.3140000000000001</v>
      </c>
      <c r="BP61" s="91">
        <f>BN61+BO61</f>
        <v>3.3947790000077305E-4</v>
      </c>
      <c r="BQ61" s="69"/>
      <c r="BR61" s="91">
        <f t="shared" si="8"/>
        <v>3.3947790000077305E-4</v>
      </c>
      <c r="BS61" s="143">
        <f t="shared" si="4"/>
        <v>0</v>
      </c>
      <c r="BT61" s="260">
        <v>43166</v>
      </c>
      <c r="BU61" s="374">
        <f t="shared" ref="BU61" si="317">BN61+BN62</f>
        <v>14.6688694387</v>
      </c>
      <c r="BV61" s="370">
        <f t="shared" ref="BV61" si="318">BO61+BO62</f>
        <v>-13.628</v>
      </c>
      <c r="BW61" s="370">
        <f t="shared" ref="BW61" si="319">BU61+BV61</f>
        <v>1.0408694386999997</v>
      </c>
      <c r="BX61" s="370">
        <f t="shared" ref="BX61" si="320">BQ61+BQ62</f>
        <v>1.0409999999999999</v>
      </c>
      <c r="BY61" s="370">
        <f t="shared" ref="BY61" si="321">BW61-BX61</f>
        <v>-1.3056130000022037E-4</v>
      </c>
      <c r="BZ61" s="372">
        <f t="shared" ref="BZ61" si="322">BX61/BW61</f>
        <v>1.0001254348481623</v>
      </c>
    </row>
    <row r="62" spans="2:78" ht="22.5" customHeight="1" thickBot="1" x14ac:dyDescent="0.3">
      <c r="B62" s="494"/>
      <c r="C62" s="448"/>
      <c r="D62" s="444"/>
      <c r="E62" s="411"/>
      <c r="F62" s="333" t="s">
        <v>14</v>
      </c>
      <c r="G62" s="73">
        <v>1.8094541000000001E-3</v>
      </c>
      <c r="H62" s="91">
        <v>1.2769999999999999</v>
      </c>
      <c r="I62" s="307"/>
      <c r="J62" s="91">
        <f>H62+I62+L61</f>
        <v>3.4979999999999993</v>
      </c>
      <c r="K62" s="69">
        <v>3.0960000000000001</v>
      </c>
      <c r="L62" s="91">
        <f t="shared" si="296"/>
        <v>0.40199999999999925</v>
      </c>
      <c r="M62" s="143">
        <f t="shared" si="297"/>
        <v>0.88507718696397963</v>
      </c>
      <c r="N62" s="292" t="s">
        <v>410</v>
      </c>
      <c r="O62" s="407"/>
      <c r="P62" s="403"/>
      <c r="Q62" s="403"/>
      <c r="R62" s="403"/>
      <c r="S62" s="403"/>
      <c r="T62" s="396"/>
      <c r="V62" s="400"/>
      <c r="W62" s="380"/>
      <c r="X62" s="380"/>
      <c r="Y62" s="85" t="s">
        <v>14</v>
      </c>
      <c r="Z62" s="75">
        <v>6.9147745E-3</v>
      </c>
      <c r="AA62" s="91">
        <f>$U$31*Z62</f>
        <v>9.9019570839999993</v>
      </c>
      <c r="AB62" s="307">
        <f>-9.902</f>
        <v>-9.9019999999999992</v>
      </c>
      <c r="AC62" s="91">
        <f>AA62+AB62+AE61</f>
        <v>-3.3963649999968482E-4</v>
      </c>
      <c r="AD62" s="69"/>
      <c r="AE62" s="91">
        <f t="shared" si="6"/>
        <v>-3.3963649999968482E-4</v>
      </c>
      <c r="AF62" s="143">
        <f>AD62/AC62</f>
        <v>0</v>
      </c>
      <c r="AG62" s="270">
        <v>43166</v>
      </c>
      <c r="AH62" s="393"/>
      <c r="AI62" s="386"/>
      <c r="AJ62" s="386"/>
      <c r="AK62" s="386"/>
      <c r="AL62" s="386"/>
      <c r="AM62" s="389"/>
      <c r="AO62" s="423"/>
      <c r="AP62" s="382"/>
      <c r="AQ62" s="380"/>
      <c r="AR62" s="86" t="s">
        <v>14</v>
      </c>
      <c r="AS62" s="54">
        <v>1.6682712000000001E-3</v>
      </c>
      <c r="AT62" s="91">
        <f>$U$31*AS62</f>
        <v>2.3889643584</v>
      </c>
      <c r="AU62" s="307"/>
      <c r="AV62" s="91">
        <f>AT62+AU62+AX61</f>
        <v>6.5446279176000006</v>
      </c>
      <c r="AW62" s="69">
        <v>5.2069999999999999</v>
      </c>
      <c r="AX62" s="91">
        <f t="shared" si="2"/>
        <v>1.3376279176000008</v>
      </c>
      <c r="AY62" s="143">
        <f t="shared" si="3"/>
        <v>0.79561436731906277</v>
      </c>
      <c r="AZ62" s="282" t="s">
        <v>410</v>
      </c>
      <c r="BA62" s="385"/>
      <c r="BB62" s="384"/>
      <c r="BC62" s="384"/>
      <c r="BD62" s="384"/>
      <c r="BE62" s="384"/>
      <c r="BF62" s="376"/>
      <c r="BG62" s="233"/>
      <c r="BI62" s="458"/>
      <c r="BJ62" s="381"/>
      <c r="BK62" s="378"/>
      <c r="BL62" s="86" t="s">
        <v>14</v>
      </c>
      <c r="BM62" s="68">
        <v>3.7391969000000001E-3</v>
      </c>
      <c r="BN62" s="112">
        <f>$U$31*BM62</f>
        <v>5.3545299607999999</v>
      </c>
      <c r="BO62" s="307">
        <f>-4.314</f>
        <v>-4.3140000000000001</v>
      </c>
      <c r="BP62" s="91">
        <f>BN62+BO62+BR61</f>
        <v>1.0408694387000006</v>
      </c>
      <c r="BQ62" s="69">
        <v>1.0409999999999999</v>
      </c>
      <c r="BR62" s="91">
        <f t="shared" si="8"/>
        <v>-1.3056129999933219E-4</v>
      </c>
      <c r="BS62" s="143">
        <f t="shared" si="4"/>
        <v>1.0001254348481616</v>
      </c>
      <c r="BT62" s="297" t="s">
        <v>410</v>
      </c>
      <c r="BU62" s="375"/>
      <c r="BV62" s="371"/>
      <c r="BW62" s="371"/>
      <c r="BX62" s="371"/>
      <c r="BY62" s="371"/>
      <c r="BZ62" s="373"/>
    </row>
    <row r="63" spans="2:78" ht="25.5" customHeight="1" x14ac:dyDescent="0.25">
      <c r="B63" s="494"/>
      <c r="C63" s="448"/>
      <c r="D63" s="438" t="s">
        <v>90</v>
      </c>
      <c r="E63" s="408" t="s">
        <v>225</v>
      </c>
      <c r="F63" s="333" t="s">
        <v>13</v>
      </c>
      <c r="G63" s="75">
        <v>1.3139868000000001E-2</v>
      </c>
      <c r="H63" s="70">
        <f t="shared" ref="H63" si="323">$U$29*G63</f>
        <v>32.731411188000003</v>
      </c>
      <c r="I63" s="307">
        <f>-51.548</f>
        <v>-51.548000000000002</v>
      </c>
      <c r="J63" s="91">
        <f>H63+I63</f>
        <v>-18.816588811999999</v>
      </c>
      <c r="K63" s="69"/>
      <c r="L63" s="91">
        <f t="shared" si="296"/>
        <v>-18.816588811999999</v>
      </c>
      <c r="M63" s="143">
        <v>0</v>
      </c>
      <c r="N63" s="260">
        <v>43154</v>
      </c>
      <c r="O63" s="406">
        <f t="shared" ref="O63" si="324">H63+H64</f>
        <v>51.547702164</v>
      </c>
      <c r="P63" s="405">
        <f t="shared" ref="P63" si="325">I63+I64</f>
        <v>-51.548000000000002</v>
      </c>
      <c r="Q63" s="402">
        <f t="shared" ref="Q63" si="326">O63+P63</f>
        <v>-2.9783600000143906E-4</v>
      </c>
      <c r="R63" s="404">
        <f t="shared" ref="R63" si="327">K63+K64</f>
        <v>0</v>
      </c>
      <c r="S63" s="402">
        <f t="shared" ref="S63" si="328">Q63-R63</f>
        <v>-2.9783600000143906E-4</v>
      </c>
      <c r="T63" s="395">
        <f t="shared" ref="T63" si="329">R63/Q63</f>
        <v>0</v>
      </c>
      <c r="V63" s="400"/>
      <c r="W63" s="377" t="s">
        <v>91</v>
      </c>
      <c r="X63" s="377" t="s">
        <v>254</v>
      </c>
      <c r="Y63" s="100" t="s">
        <v>13</v>
      </c>
      <c r="Z63" s="73">
        <v>2.39364964E-2</v>
      </c>
      <c r="AA63" s="91">
        <f>$U$29*Z63</f>
        <v>59.625812532399998</v>
      </c>
      <c r="AB63" s="307">
        <f>-59.626</f>
        <v>-59.625999999999998</v>
      </c>
      <c r="AC63" s="91">
        <f>AA63+AB63</f>
        <v>-1.8746759999999085E-4</v>
      </c>
      <c r="AD63" s="340"/>
      <c r="AE63" s="91">
        <f t="shared" si="6"/>
        <v>-1.8746759999999085E-4</v>
      </c>
      <c r="AF63" s="157">
        <f t="shared" si="304"/>
        <v>0</v>
      </c>
      <c r="AG63" s="269">
        <v>43154</v>
      </c>
      <c r="AH63" s="393">
        <f t="shared" ref="AH63" si="330">AA63+AA64</f>
        <v>93.90287537719999</v>
      </c>
      <c r="AI63" s="386">
        <f t="shared" ref="AI63" si="331">AB63+AB64</f>
        <v>-93.902999999999992</v>
      </c>
      <c r="AJ63" s="386">
        <f t="shared" ref="AJ63" si="332">AH63+AI63</f>
        <v>-1.2462280000136161E-4</v>
      </c>
      <c r="AK63" s="386">
        <f t="shared" ref="AK63" si="333">AD63+AD64</f>
        <v>0</v>
      </c>
      <c r="AL63" s="386">
        <f t="shared" ref="AL63" si="334">AJ63-AK63</f>
        <v>-1.2462280000136161E-4</v>
      </c>
      <c r="AM63" s="389">
        <v>1</v>
      </c>
      <c r="AO63" s="423"/>
      <c r="AP63" s="382" t="s">
        <v>88</v>
      </c>
      <c r="AQ63" s="379">
        <v>4370</v>
      </c>
      <c r="AR63" s="86" t="s">
        <v>13</v>
      </c>
      <c r="AS63" s="68">
        <v>1.45138269E-2</v>
      </c>
      <c r="AT63" s="91">
        <f>$U$29*AS63</f>
        <v>36.153942807900002</v>
      </c>
      <c r="AU63" s="307"/>
      <c r="AV63" s="91">
        <f>AT63+AU63</f>
        <v>36.153942807900002</v>
      </c>
      <c r="AW63" s="69">
        <v>27.741</v>
      </c>
      <c r="AX63" s="91">
        <f t="shared" si="2"/>
        <v>8.4129428079000022</v>
      </c>
      <c r="AY63" s="143">
        <f t="shared" si="3"/>
        <v>0.76730220400576366</v>
      </c>
      <c r="AZ63" s="282" t="s">
        <v>410</v>
      </c>
      <c r="BA63" s="385">
        <f t="shared" ref="BA63" si="335">AT63+AT64</f>
        <v>56.937742928700004</v>
      </c>
      <c r="BB63" s="384">
        <f t="shared" ref="BB63" si="336">AU63+AU64</f>
        <v>0</v>
      </c>
      <c r="BC63" s="384">
        <f t="shared" ref="BC63" si="337">BA63-BB63</f>
        <v>56.937742928700004</v>
      </c>
      <c r="BD63" s="384">
        <f t="shared" ref="BD63" si="338">AW63+AW64</f>
        <v>56.783000000000001</v>
      </c>
      <c r="BE63" s="384">
        <f t="shared" ref="BE63" si="339">BC63-BD63</f>
        <v>0.15474292870000284</v>
      </c>
      <c r="BF63" s="376">
        <f t="shared" ref="BF63" si="340">BD63/BC63</f>
        <v>0.9972822433637073</v>
      </c>
      <c r="BG63" s="233"/>
      <c r="BI63" s="458"/>
      <c r="BJ63" s="381" t="s">
        <v>93</v>
      </c>
      <c r="BK63" s="377" t="s">
        <v>278</v>
      </c>
      <c r="BL63" s="86" t="s">
        <v>13</v>
      </c>
      <c r="BM63" s="68">
        <v>6.5118729999999996E-3</v>
      </c>
      <c r="BN63" s="112">
        <v>19.623999999999999</v>
      </c>
      <c r="BO63" s="307">
        <f>-19.624</f>
        <v>-19.623999999999999</v>
      </c>
      <c r="BP63" s="91">
        <f>BN63+BO63</f>
        <v>0</v>
      </c>
      <c r="BQ63" s="69">
        <v>0.13300000000000001</v>
      </c>
      <c r="BR63" s="91">
        <f t="shared" si="8"/>
        <v>-0.13300000000000001</v>
      </c>
      <c r="BS63" s="143">
        <v>1</v>
      </c>
      <c r="BT63" s="260">
        <v>43206</v>
      </c>
      <c r="BU63" s="374">
        <f t="shared" ref="BU63" si="341">BN63+BN64</f>
        <v>30.905000000000001</v>
      </c>
      <c r="BV63" s="370">
        <f t="shared" ref="BV63" si="342">BO63+BO64</f>
        <v>-29.986999999999998</v>
      </c>
      <c r="BW63" s="370">
        <f t="shared" ref="BW63" si="343">BU63+BV63</f>
        <v>0.91800000000000281</v>
      </c>
      <c r="BX63" s="370">
        <f t="shared" ref="BX63" si="344">BQ63+BQ64</f>
        <v>0.36799999999999999</v>
      </c>
      <c r="BY63" s="370">
        <f t="shared" ref="BY63" si="345">BW63-BX63</f>
        <v>0.55000000000000282</v>
      </c>
      <c r="BZ63" s="372">
        <f t="shared" ref="BZ63" si="346">BX63/BW63</f>
        <v>0.40087145969498789</v>
      </c>
    </row>
    <row r="64" spans="2:78" ht="21" customHeight="1" thickBot="1" x14ac:dyDescent="0.3">
      <c r="B64" s="494"/>
      <c r="C64" s="448"/>
      <c r="D64" s="439"/>
      <c r="E64" s="409"/>
      <c r="F64" s="333" t="s">
        <v>14</v>
      </c>
      <c r="G64" s="75">
        <v>1.3139868000000001E-2</v>
      </c>
      <c r="H64" s="70">
        <f t="shared" ref="H64" si="347">$U$31*G64</f>
        <v>18.816290976000001</v>
      </c>
      <c r="I64" s="307"/>
      <c r="J64" s="91">
        <f>H64+I64+L63</f>
        <v>-2.9783599999788635E-4</v>
      </c>
      <c r="K64" s="69"/>
      <c r="L64" s="91">
        <f t="shared" si="296"/>
        <v>-2.9783599999788635E-4</v>
      </c>
      <c r="M64" s="143">
        <v>0</v>
      </c>
      <c r="N64" s="260">
        <v>43166</v>
      </c>
      <c r="O64" s="407"/>
      <c r="P64" s="403"/>
      <c r="Q64" s="403"/>
      <c r="R64" s="403"/>
      <c r="S64" s="403"/>
      <c r="T64" s="396"/>
      <c r="V64" s="400"/>
      <c r="W64" s="378"/>
      <c r="X64" s="378"/>
      <c r="Y64" s="85" t="s">
        <v>14</v>
      </c>
      <c r="Z64" s="73">
        <v>2.39364964E-2</v>
      </c>
      <c r="AA64" s="91">
        <f>$U$31*Z64</f>
        <v>34.2770628448</v>
      </c>
      <c r="AB64" s="307">
        <f>-34.277</f>
        <v>-34.277000000000001</v>
      </c>
      <c r="AC64" s="91">
        <f>AA64+AB64+AE63</f>
        <v>-1.2462280000136161E-4</v>
      </c>
      <c r="AD64" s="69"/>
      <c r="AE64" s="91">
        <f t="shared" si="6"/>
        <v>-1.2462280000136161E-4</v>
      </c>
      <c r="AF64" s="157">
        <f>AD64/AC64</f>
        <v>0</v>
      </c>
      <c r="AG64" s="270">
        <v>43166</v>
      </c>
      <c r="AH64" s="393"/>
      <c r="AI64" s="386"/>
      <c r="AJ64" s="386"/>
      <c r="AK64" s="386"/>
      <c r="AL64" s="386"/>
      <c r="AM64" s="389"/>
      <c r="AO64" s="423"/>
      <c r="AP64" s="382"/>
      <c r="AQ64" s="380"/>
      <c r="AR64" s="86" t="s">
        <v>14</v>
      </c>
      <c r="AS64" s="68">
        <v>1.45138269E-2</v>
      </c>
      <c r="AT64" s="91">
        <f>$U$31*AS64</f>
        <v>20.783800120800002</v>
      </c>
      <c r="AU64" s="307"/>
      <c r="AV64" s="91">
        <f>AT64+AU64+AX63</f>
        <v>29.196742928700004</v>
      </c>
      <c r="AW64" s="69">
        <v>29.042000000000002</v>
      </c>
      <c r="AX64" s="91">
        <f t="shared" si="2"/>
        <v>0.15474292870000284</v>
      </c>
      <c r="AY64" s="143">
        <f t="shared" si="3"/>
        <v>0.99469999345208149</v>
      </c>
      <c r="AZ64" s="280" t="s">
        <v>410</v>
      </c>
      <c r="BA64" s="385"/>
      <c r="BB64" s="384"/>
      <c r="BC64" s="384"/>
      <c r="BD64" s="384"/>
      <c r="BE64" s="384"/>
      <c r="BF64" s="376"/>
      <c r="BG64" s="233"/>
      <c r="BI64" s="458"/>
      <c r="BJ64" s="381"/>
      <c r="BK64" s="378"/>
      <c r="BL64" s="86" t="s">
        <v>14</v>
      </c>
      <c r="BM64" s="68">
        <v>6.5118729999999996E-3</v>
      </c>
      <c r="BN64" s="112">
        <v>11.281000000000001</v>
      </c>
      <c r="BO64" s="307">
        <f>-10.363</f>
        <v>-10.363</v>
      </c>
      <c r="BP64" s="91">
        <f>BN64+BO64+BR63</f>
        <v>0.78500000000000103</v>
      </c>
      <c r="BQ64" s="69">
        <v>0.23499999999999999</v>
      </c>
      <c r="BR64" s="91">
        <f t="shared" si="8"/>
        <v>0.55000000000000104</v>
      </c>
      <c r="BS64" s="143">
        <f t="shared" si="4"/>
        <v>0.29936305732484036</v>
      </c>
      <c r="BT64" s="298" t="s">
        <v>410</v>
      </c>
      <c r="BU64" s="375"/>
      <c r="BV64" s="371"/>
      <c r="BW64" s="371"/>
      <c r="BX64" s="371"/>
      <c r="BY64" s="371"/>
      <c r="BZ64" s="373"/>
    </row>
    <row r="65" spans="2:78" ht="20.100000000000001" customHeight="1" x14ac:dyDescent="0.25">
      <c r="B65" s="494"/>
      <c r="C65" s="448"/>
      <c r="D65" s="438" t="s">
        <v>94</v>
      </c>
      <c r="E65" s="408" t="s">
        <v>226</v>
      </c>
      <c r="F65" s="333" t="s">
        <v>13</v>
      </c>
      <c r="G65" s="75">
        <v>9.1363445000000008E-3</v>
      </c>
      <c r="H65" s="91">
        <f t="shared" ref="H65" si="348">$U$29*G65</f>
        <v>22.758634149500001</v>
      </c>
      <c r="I65" s="307">
        <f>-35.842</f>
        <v>-35.841999999999999</v>
      </c>
      <c r="J65" s="91">
        <f>H65+I65</f>
        <v>-13.083365850499998</v>
      </c>
      <c r="K65" s="69"/>
      <c r="L65" s="91">
        <f t="shared" si="296"/>
        <v>-13.083365850499998</v>
      </c>
      <c r="M65" s="143">
        <v>0</v>
      </c>
      <c r="N65" s="415">
        <v>43166</v>
      </c>
      <c r="O65" s="406">
        <f t="shared" ref="O65" si="349">H65+H66</f>
        <v>35.841879473500001</v>
      </c>
      <c r="P65" s="405">
        <f t="shared" ref="P65" si="350">I65+I66</f>
        <v>-35.841999999999999</v>
      </c>
      <c r="Q65" s="402">
        <f t="shared" ref="Q65" si="351">O65+P65</f>
        <v>-1.2052649999816367E-4</v>
      </c>
      <c r="R65" s="404">
        <f t="shared" ref="R65" si="352">K65+K66</f>
        <v>0</v>
      </c>
      <c r="S65" s="402">
        <f t="shared" ref="S65" si="353">Q65-R65</f>
        <v>-1.2052649999816367E-4</v>
      </c>
      <c r="T65" s="395">
        <f t="shared" ref="T65" si="354">R65/Q65</f>
        <v>0</v>
      </c>
      <c r="V65" s="400"/>
      <c r="W65" s="377" t="s">
        <v>95</v>
      </c>
      <c r="X65" s="377" t="s">
        <v>255</v>
      </c>
      <c r="Y65" s="100" t="s">
        <v>13</v>
      </c>
      <c r="Z65" s="73">
        <v>1.521573E-2</v>
      </c>
      <c r="AA65" s="91">
        <f>$U$29*Z65</f>
        <v>37.90238343</v>
      </c>
      <c r="AB65" s="307">
        <f>-37.902</f>
        <v>-37.902000000000001</v>
      </c>
      <c r="AC65" s="91">
        <f>AA65+AB65</f>
        <v>3.834299999994073E-4</v>
      </c>
      <c r="AD65" s="69">
        <v>1.111</v>
      </c>
      <c r="AE65" s="91">
        <f t="shared" si="6"/>
        <v>-1.1106165700000006</v>
      </c>
      <c r="AF65" s="143">
        <v>1</v>
      </c>
      <c r="AG65" s="269">
        <v>43166</v>
      </c>
      <c r="AH65" s="393">
        <f t="shared" ref="AH65" si="355">AA65+AA66</f>
        <v>59.691308790000001</v>
      </c>
      <c r="AI65" s="386">
        <f t="shared" ref="AI65" si="356">AB65+AB66</f>
        <v>-57.573999999999998</v>
      </c>
      <c r="AJ65" s="386">
        <f t="shared" ref="AJ65" si="357">AH65+AI65</f>
        <v>2.1173087900000027</v>
      </c>
      <c r="AK65" s="386">
        <f t="shared" ref="AK65" si="358">AD65+AD66</f>
        <v>1.865</v>
      </c>
      <c r="AL65" s="386">
        <f t="shared" ref="AL65" si="359">AJ65-AK65</f>
        <v>0.25230879000000273</v>
      </c>
      <c r="AM65" s="389">
        <f t="shared" ref="AM65" si="360">AK65/AJ65</f>
        <v>0.88083514733814405</v>
      </c>
      <c r="AO65" s="423"/>
      <c r="AP65" s="382" t="s">
        <v>92</v>
      </c>
      <c r="AQ65" s="379" t="s">
        <v>267</v>
      </c>
      <c r="AR65" s="86" t="s">
        <v>13</v>
      </c>
      <c r="AS65" s="68">
        <v>3.5111410000000002E-3</v>
      </c>
      <c r="AT65" s="112">
        <f>$U$29*AS65</f>
        <v>8.7462522309999997</v>
      </c>
      <c r="AU65" s="307"/>
      <c r="AV65" s="91">
        <f>AT65+AU65</f>
        <v>8.7462522309999997</v>
      </c>
      <c r="AW65" s="69">
        <v>4.9619999999999997</v>
      </c>
      <c r="AX65" s="91">
        <f t="shared" si="2"/>
        <v>3.784252231</v>
      </c>
      <c r="AY65" s="143">
        <f t="shared" si="3"/>
        <v>0.56732871050903488</v>
      </c>
      <c r="AZ65" s="282" t="s">
        <v>410</v>
      </c>
      <c r="BA65" s="385">
        <f t="shared" ref="BA65" si="361">AT65+AT66</f>
        <v>13.774206143000001</v>
      </c>
      <c r="BB65" s="384">
        <f t="shared" ref="BB65" si="362">AU65+AU66</f>
        <v>0</v>
      </c>
      <c r="BC65" s="384">
        <f t="shared" ref="BC65" si="363">BA65-BB65</f>
        <v>13.774206143000001</v>
      </c>
      <c r="BD65" s="384">
        <f t="shared" ref="BD65" si="364">AW65+AW66</f>
        <v>13.641999999999999</v>
      </c>
      <c r="BE65" s="384">
        <f t="shared" ref="BE65" si="365">BC65-BD65</f>
        <v>0.13220614300000122</v>
      </c>
      <c r="BF65" s="376">
        <f t="shared" ref="BF65" si="366">BD65/BC65</f>
        <v>0.99040190471759504</v>
      </c>
      <c r="BG65" s="233"/>
      <c r="BI65" s="458"/>
      <c r="BJ65" s="382" t="s">
        <v>97</v>
      </c>
      <c r="BK65" s="379" t="s">
        <v>279</v>
      </c>
      <c r="BL65" s="86" t="s">
        <v>13</v>
      </c>
      <c r="BM65" s="68">
        <v>1.1437660000000001E-3</v>
      </c>
      <c r="BN65" s="112">
        <f>$U$29*BM65</f>
        <v>2.8491211060000001</v>
      </c>
      <c r="BO65" s="307">
        <f>-2.849</f>
        <v>-2.8490000000000002</v>
      </c>
      <c r="BP65" s="91">
        <f>BN65+BO65</f>
        <v>1.2110599999992644E-4</v>
      </c>
      <c r="BQ65" s="69"/>
      <c r="BR65" s="91">
        <f t="shared" si="8"/>
        <v>1.2110599999992644E-4</v>
      </c>
      <c r="BS65" s="143">
        <f t="shared" si="4"/>
        <v>0</v>
      </c>
      <c r="BT65" s="260">
        <v>43154</v>
      </c>
      <c r="BU65" s="374">
        <f t="shared" ref="BU65" si="367">BN65+BN66</f>
        <v>4.4869940180000008</v>
      </c>
      <c r="BV65" s="370">
        <f t="shared" ref="BV65" si="368">BO65+BO66</f>
        <v>-4.4870000000000001</v>
      </c>
      <c r="BW65" s="370">
        <f t="shared" ref="BW65" si="369">BU65+BV65</f>
        <v>-5.9819999993493411E-6</v>
      </c>
      <c r="BX65" s="370">
        <f t="shared" ref="BX65" si="370">BQ65+BQ66</f>
        <v>0</v>
      </c>
      <c r="BY65" s="370">
        <f t="shared" ref="BY65" si="371">BW65-BX65</f>
        <v>-5.9819999993493411E-6</v>
      </c>
      <c r="BZ65" s="372">
        <f t="shared" ref="BZ65" si="372">BX65/BW65</f>
        <v>0</v>
      </c>
    </row>
    <row r="66" spans="2:78" ht="20.100000000000001" customHeight="1" thickBot="1" x14ac:dyDescent="0.3">
      <c r="B66" s="494"/>
      <c r="C66" s="448"/>
      <c r="D66" s="439"/>
      <c r="E66" s="409"/>
      <c r="F66" s="333" t="s">
        <v>14</v>
      </c>
      <c r="G66" s="75">
        <v>9.1363445000000008E-3</v>
      </c>
      <c r="H66" s="91">
        <f t="shared" ref="H66" si="373">$U$31*G66</f>
        <v>13.083245324000002</v>
      </c>
      <c r="I66" s="307"/>
      <c r="J66" s="91">
        <f>H66+I66+L65</f>
        <v>-1.2052649999638732E-4</v>
      </c>
      <c r="K66" s="69"/>
      <c r="L66" s="91">
        <f t="shared" si="296"/>
        <v>-1.2052649999638732E-4</v>
      </c>
      <c r="M66" s="143">
        <v>0</v>
      </c>
      <c r="N66" s="416"/>
      <c r="O66" s="407"/>
      <c r="P66" s="403"/>
      <c r="Q66" s="403"/>
      <c r="R66" s="403"/>
      <c r="S66" s="403"/>
      <c r="T66" s="396"/>
      <c r="V66" s="400"/>
      <c r="W66" s="378"/>
      <c r="X66" s="378"/>
      <c r="Y66" s="85" t="s">
        <v>14</v>
      </c>
      <c r="Z66" s="73">
        <v>1.521573E-2</v>
      </c>
      <c r="AA66" s="91">
        <f>$U$31*Z66</f>
        <v>21.78892536</v>
      </c>
      <c r="AB66" s="305">
        <f>-18.425-1.247</f>
        <v>-19.672000000000001</v>
      </c>
      <c r="AC66" s="91">
        <f>AA66+AB66+AE65</f>
        <v>1.0063087899999992</v>
      </c>
      <c r="AD66" s="69">
        <v>0.754</v>
      </c>
      <c r="AE66" s="91">
        <f t="shared" si="6"/>
        <v>0.25230878999999917</v>
      </c>
      <c r="AF66" s="143">
        <f t="shared" si="304"/>
        <v>0.74927299402800662</v>
      </c>
      <c r="AG66" s="256" t="s">
        <v>410</v>
      </c>
      <c r="AH66" s="393"/>
      <c r="AI66" s="386"/>
      <c r="AJ66" s="386"/>
      <c r="AK66" s="386"/>
      <c r="AL66" s="386"/>
      <c r="AM66" s="389"/>
      <c r="AO66" s="423"/>
      <c r="AP66" s="382"/>
      <c r="AQ66" s="380"/>
      <c r="AR66" s="86" t="s">
        <v>14</v>
      </c>
      <c r="AS66" s="68">
        <v>3.5111410000000002E-3</v>
      </c>
      <c r="AT66" s="112">
        <f>$U$31*AS66</f>
        <v>5.0279539120000001</v>
      </c>
      <c r="AU66" s="307"/>
      <c r="AV66" s="91">
        <f>AT66+AU66+AX65</f>
        <v>8.8122061430000009</v>
      </c>
      <c r="AW66" s="69">
        <v>8.68</v>
      </c>
      <c r="AX66" s="91">
        <f t="shared" si="2"/>
        <v>0.13220614300000122</v>
      </c>
      <c r="AY66" s="143">
        <f t="shared" si="3"/>
        <v>0.98499738421291705</v>
      </c>
      <c r="AZ66" s="282" t="s">
        <v>410</v>
      </c>
      <c r="BA66" s="385"/>
      <c r="BB66" s="384"/>
      <c r="BC66" s="384"/>
      <c r="BD66" s="384"/>
      <c r="BE66" s="384"/>
      <c r="BF66" s="376"/>
      <c r="BG66" s="233"/>
      <c r="BI66" s="458"/>
      <c r="BJ66" s="382"/>
      <c r="BK66" s="380"/>
      <c r="BL66" s="86" t="s">
        <v>14</v>
      </c>
      <c r="BM66" s="68">
        <v>1.1437660000000001E-3</v>
      </c>
      <c r="BN66" s="112">
        <f>$U$31*BM66</f>
        <v>1.6378729120000002</v>
      </c>
      <c r="BO66" s="307">
        <f>-1.638</f>
        <v>-1.6379999999999999</v>
      </c>
      <c r="BP66" s="91">
        <f>BN66+BO66+BR65</f>
        <v>-5.9819999997934303E-6</v>
      </c>
      <c r="BQ66" s="69"/>
      <c r="BR66" s="91">
        <f t="shared" si="8"/>
        <v>-5.9819999997934303E-6</v>
      </c>
      <c r="BS66" s="143">
        <f t="shared" si="4"/>
        <v>0</v>
      </c>
      <c r="BT66" s="260">
        <v>43166</v>
      </c>
      <c r="BU66" s="375"/>
      <c r="BV66" s="371"/>
      <c r="BW66" s="371"/>
      <c r="BX66" s="371"/>
      <c r="BY66" s="371"/>
      <c r="BZ66" s="373"/>
    </row>
    <row r="67" spans="2:78" ht="20.100000000000001" customHeight="1" x14ac:dyDescent="0.25">
      <c r="B67" s="494"/>
      <c r="C67" s="448"/>
      <c r="D67" s="443" t="s">
        <v>98</v>
      </c>
      <c r="E67" s="410" t="s">
        <v>227</v>
      </c>
      <c r="F67" s="333" t="s">
        <v>13</v>
      </c>
      <c r="G67" s="73">
        <v>5.9917915000000004E-3</v>
      </c>
      <c r="H67" s="70">
        <f t="shared" ref="H67" si="374">$U$29*G67</f>
        <v>14.925552626500002</v>
      </c>
      <c r="I67" s="307">
        <f>-23.506</f>
        <v>-23.506</v>
      </c>
      <c r="J67" s="91">
        <f>H67+I67</f>
        <v>-8.5804473734999984</v>
      </c>
      <c r="K67" s="69"/>
      <c r="L67" s="91">
        <f t="shared" si="296"/>
        <v>-8.5804473734999984</v>
      </c>
      <c r="M67" s="143">
        <f t="shared" si="297"/>
        <v>0</v>
      </c>
      <c r="N67" s="415">
        <v>43166</v>
      </c>
      <c r="O67" s="406">
        <f t="shared" ref="O67" si="375">H67+H68</f>
        <v>23.505798054500005</v>
      </c>
      <c r="P67" s="405">
        <f t="shared" ref="P67" si="376">I67+I68</f>
        <v>-23.506</v>
      </c>
      <c r="Q67" s="402">
        <f t="shared" ref="Q67" si="377">O67+P67</f>
        <v>-2.0194549999530409E-4</v>
      </c>
      <c r="R67" s="404">
        <f t="shared" ref="R67" si="378">K67+K68</f>
        <v>0</v>
      </c>
      <c r="S67" s="402">
        <f t="shared" ref="S67" si="379">Q67-R67</f>
        <v>-2.0194549999530409E-4</v>
      </c>
      <c r="T67" s="395">
        <f t="shared" ref="T67" si="380">R67/Q67</f>
        <v>0</v>
      </c>
      <c r="V67" s="400"/>
      <c r="W67" s="377" t="s">
        <v>99</v>
      </c>
      <c r="X67" s="377" t="s">
        <v>256</v>
      </c>
      <c r="Y67" s="100" t="s">
        <v>13</v>
      </c>
      <c r="Z67" s="73">
        <v>6.7761519999999997E-4</v>
      </c>
      <c r="AA67" s="91">
        <f>$U$29*Z67</f>
        <v>1.6879394632</v>
      </c>
      <c r="AB67" s="307">
        <v>-1.6879999999999999</v>
      </c>
      <c r="AC67" s="91">
        <f>AA67+AB67</f>
        <v>-6.0536799999955093E-5</v>
      </c>
      <c r="AD67" s="69"/>
      <c r="AE67" s="91">
        <f t="shared" si="6"/>
        <v>-6.0536799999955093E-5</v>
      </c>
      <c r="AF67" s="143">
        <f t="shared" si="304"/>
        <v>0</v>
      </c>
      <c r="AG67" s="284">
        <v>43227</v>
      </c>
      <c r="AH67" s="393">
        <f t="shared" ref="AH67" si="381">AA67+AA68</f>
        <v>2.6582844296000001</v>
      </c>
      <c r="AI67" s="386">
        <f t="shared" ref="AI67" si="382">AB67+AB68</f>
        <v>-2.6579999999999999</v>
      </c>
      <c r="AJ67" s="386">
        <f t="shared" ref="AJ67" si="383">AH67+AI67</f>
        <v>2.8442960000019113E-4</v>
      </c>
      <c r="AK67" s="386">
        <f t="shared" ref="AK67" si="384">AD67+AD68</f>
        <v>0</v>
      </c>
      <c r="AL67" s="386">
        <f t="shared" ref="AL67" si="385">AJ67-AK67</f>
        <v>2.8442960000019113E-4</v>
      </c>
      <c r="AM67" s="389">
        <f t="shared" ref="AM67" si="386">AK67/AJ67</f>
        <v>0</v>
      </c>
      <c r="AO67" s="423"/>
      <c r="AP67" s="382" t="s">
        <v>96</v>
      </c>
      <c r="AQ67" s="379"/>
      <c r="AR67" s="86" t="s">
        <v>13</v>
      </c>
      <c r="AS67" s="68">
        <v>1.2042085900000001E-2</v>
      </c>
      <c r="AT67" s="112">
        <f>$U$29*AS67</f>
        <v>29.996835976900002</v>
      </c>
      <c r="AU67" s="307"/>
      <c r="AV67" s="91">
        <f>AT67+AU67</f>
        <v>29.996835976900002</v>
      </c>
      <c r="AW67" s="69">
        <v>13.753</v>
      </c>
      <c r="AX67" s="91">
        <f t="shared" si="2"/>
        <v>16.243835976900002</v>
      </c>
      <c r="AY67" s="143">
        <f t="shared" si="3"/>
        <v>0.45848168822174867</v>
      </c>
      <c r="AZ67" s="282" t="s">
        <v>410</v>
      </c>
      <c r="BA67" s="385">
        <f t="shared" ref="BA67" si="387">AT67+AT68</f>
        <v>47.241102985700003</v>
      </c>
      <c r="BB67" s="384">
        <f t="shared" ref="BB67" si="388">AU67+AU68</f>
        <v>0</v>
      </c>
      <c r="BC67" s="384">
        <f t="shared" ref="BC67" si="389">BA67-BB67</f>
        <v>47.241102985700003</v>
      </c>
      <c r="BD67" s="384">
        <f t="shared" ref="BD67" si="390">AW67+AW68</f>
        <v>33.710999999999999</v>
      </c>
      <c r="BE67" s="384">
        <f t="shared" ref="BE67" si="391">BC67-BD67</f>
        <v>13.530102985700005</v>
      </c>
      <c r="BF67" s="376">
        <f t="shared" ref="BF67" si="392">BD67/BC67</f>
        <v>0.71359468491250932</v>
      </c>
      <c r="BG67" s="233"/>
      <c r="BI67" s="458"/>
      <c r="BJ67" s="381" t="s">
        <v>100</v>
      </c>
      <c r="BK67" s="377"/>
      <c r="BL67" s="86" t="s">
        <v>13</v>
      </c>
      <c r="BM67" s="68">
        <v>3.5531563000000001E-3</v>
      </c>
      <c r="BN67" s="112">
        <v>5.4480000000000004</v>
      </c>
      <c r="BO67" s="307"/>
      <c r="BP67" s="91">
        <f>BN67+BO67</f>
        <v>5.4480000000000004</v>
      </c>
      <c r="BQ67" s="69">
        <v>8.5359999999999996</v>
      </c>
      <c r="BR67" s="91">
        <f>BP67-BQ67</f>
        <v>-3.0879999999999992</v>
      </c>
      <c r="BS67" s="143">
        <f>BQ67/BP67</f>
        <v>1.5668135095447868</v>
      </c>
      <c r="BT67" s="293">
        <v>43236</v>
      </c>
      <c r="BU67" s="374">
        <f t="shared" ref="BU67" si="393">BN67+BN68</f>
        <v>8.58</v>
      </c>
      <c r="BV67" s="370">
        <f t="shared" ref="BV67" si="394">BO67+BO68</f>
        <v>0</v>
      </c>
      <c r="BW67" s="370">
        <f t="shared" ref="BW67" si="395">BU67+BV67</f>
        <v>8.58</v>
      </c>
      <c r="BX67" s="370">
        <f t="shared" ref="BX67" si="396">BQ67+BQ68</f>
        <v>11.419</v>
      </c>
      <c r="BY67" s="370">
        <f t="shared" ref="BY67" si="397">BW67-BX67</f>
        <v>-2.8390000000000004</v>
      </c>
      <c r="BZ67" s="372">
        <f t="shared" ref="BZ67" si="398">BX67/BW67</f>
        <v>1.330885780885781</v>
      </c>
    </row>
    <row r="68" spans="2:78" ht="27" customHeight="1" thickBot="1" x14ac:dyDescent="0.3">
      <c r="B68" s="494"/>
      <c r="C68" s="448"/>
      <c r="D68" s="444"/>
      <c r="E68" s="411"/>
      <c r="F68" s="333" t="s">
        <v>14</v>
      </c>
      <c r="G68" s="73">
        <v>5.9917915000000004E-3</v>
      </c>
      <c r="H68" s="70">
        <f t="shared" ref="H68" si="399">$U$31*G68</f>
        <v>8.5802454280000013</v>
      </c>
      <c r="I68" s="307"/>
      <c r="J68" s="91">
        <f>H68+I68+L67</f>
        <v>-2.0194549999708045E-4</v>
      </c>
      <c r="K68" s="69"/>
      <c r="L68" s="91">
        <f t="shared" si="296"/>
        <v>-2.0194549999708045E-4</v>
      </c>
      <c r="M68" s="143">
        <f t="shared" si="297"/>
        <v>0</v>
      </c>
      <c r="N68" s="416"/>
      <c r="O68" s="407"/>
      <c r="P68" s="403"/>
      <c r="Q68" s="403"/>
      <c r="R68" s="403"/>
      <c r="S68" s="403"/>
      <c r="T68" s="396"/>
      <c r="V68" s="400"/>
      <c r="W68" s="378"/>
      <c r="X68" s="378"/>
      <c r="Y68" s="85" t="s">
        <v>14</v>
      </c>
      <c r="Z68" s="73">
        <v>6.7761519999999997E-4</v>
      </c>
      <c r="AA68" s="91">
        <f>$U$31*Z68</f>
        <v>0.97034496640000001</v>
      </c>
      <c r="AB68" s="307">
        <v>-0.97</v>
      </c>
      <c r="AC68" s="91">
        <f>AA68+AB68+AE67</f>
        <v>2.8442960000008011E-4</v>
      </c>
      <c r="AD68" s="69"/>
      <c r="AE68" s="91">
        <f t="shared" si="6"/>
        <v>2.8442960000008011E-4</v>
      </c>
      <c r="AF68" s="143">
        <f t="shared" si="304"/>
        <v>0</v>
      </c>
      <c r="AG68" s="284">
        <v>43227</v>
      </c>
      <c r="AH68" s="393"/>
      <c r="AI68" s="386"/>
      <c r="AJ68" s="386"/>
      <c r="AK68" s="386"/>
      <c r="AL68" s="386"/>
      <c r="AM68" s="389"/>
      <c r="AO68" s="424"/>
      <c r="AP68" s="432"/>
      <c r="AQ68" s="420"/>
      <c r="AR68" s="87" t="s">
        <v>14</v>
      </c>
      <c r="AS68" s="108">
        <v>1.2042085900000001E-2</v>
      </c>
      <c r="AT68" s="113">
        <f>$U$31*AS68</f>
        <v>17.244267008800001</v>
      </c>
      <c r="AU68" s="78"/>
      <c r="AV68" s="94">
        <f>AT68+AU68+AX67</f>
        <v>33.488102985700003</v>
      </c>
      <c r="AW68" s="77">
        <v>19.957999999999998</v>
      </c>
      <c r="AX68" s="94">
        <f t="shared" si="2"/>
        <v>13.530102985700005</v>
      </c>
      <c r="AY68" s="144">
        <f>AW68/AV68</f>
        <v>0.59597284470017331</v>
      </c>
      <c r="AZ68" s="283" t="s">
        <v>410</v>
      </c>
      <c r="BA68" s="456"/>
      <c r="BB68" s="445"/>
      <c r="BC68" s="445"/>
      <c r="BD68" s="445"/>
      <c r="BE68" s="445"/>
      <c r="BF68" s="446"/>
      <c r="BG68" s="234"/>
      <c r="BI68" s="459"/>
      <c r="BJ68" s="431"/>
      <c r="BK68" s="397"/>
      <c r="BL68" s="87" t="s">
        <v>14</v>
      </c>
      <c r="BM68" s="108">
        <v>3.5531563000000001E-3</v>
      </c>
      <c r="BN68" s="113">
        <v>3.1320000000000001</v>
      </c>
      <c r="BO68" s="78"/>
      <c r="BP68" s="94">
        <f>BN68+BO68+BR67</f>
        <v>4.4000000000000927E-2</v>
      </c>
      <c r="BQ68" s="77">
        <v>2.883</v>
      </c>
      <c r="BR68" s="94">
        <f>BP68-BQ68</f>
        <v>-2.8389999999999991</v>
      </c>
      <c r="BS68" s="144">
        <f>BQ68/BP68</f>
        <v>65.522727272725888</v>
      </c>
      <c r="BT68" s="321" t="s">
        <v>410</v>
      </c>
      <c r="BU68" s="375"/>
      <c r="BV68" s="371"/>
      <c r="BW68" s="371"/>
      <c r="BX68" s="371"/>
      <c r="BY68" s="371"/>
      <c r="BZ68" s="373"/>
    </row>
    <row r="69" spans="2:78" ht="20.100000000000001" customHeight="1" x14ac:dyDescent="0.25">
      <c r="B69" s="494"/>
      <c r="C69" s="448"/>
      <c r="D69" s="443" t="s">
        <v>101</v>
      </c>
      <c r="E69" s="410" t="s">
        <v>228</v>
      </c>
      <c r="F69" s="333" t="s">
        <v>13</v>
      </c>
      <c r="G69" s="73">
        <v>1.1902403799999999E-2</v>
      </c>
      <c r="H69" s="91">
        <f t="shared" ref="H69" si="400">$U$29*G69</f>
        <v>29.648887865799999</v>
      </c>
      <c r="I69" s="307">
        <f>-39.468</f>
        <v>-39.468000000000004</v>
      </c>
      <c r="J69" s="91">
        <f>H69+I69</f>
        <v>-9.8191121342000045</v>
      </c>
      <c r="K69" s="69"/>
      <c r="L69" s="91">
        <f t="shared" si="296"/>
        <v>-9.8191121342000045</v>
      </c>
      <c r="M69" s="143">
        <f t="shared" si="297"/>
        <v>0</v>
      </c>
      <c r="N69" s="294">
        <v>43166</v>
      </c>
      <c r="O69" s="406">
        <f t="shared" ref="O69" si="401">H69+H70</f>
        <v>46.693130107399995</v>
      </c>
      <c r="P69" s="405">
        <f t="shared" ref="P69" si="402">I69+I70</f>
        <v>-39.468000000000004</v>
      </c>
      <c r="Q69" s="402">
        <f t="shared" ref="Q69" si="403">O69+P69</f>
        <v>7.2251301073999912</v>
      </c>
      <c r="R69" s="404">
        <f t="shared" ref="R69" si="404">K69+K70</f>
        <v>5.2160000000000002</v>
      </c>
      <c r="S69" s="402">
        <f t="shared" ref="S69" si="405">Q69-R69</f>
        <v>2.009130107399991</v>
      </c>
      <c r="T69" s="395">
        <f t="shared" ref="T69" si="406">R69/Q69</f>
        <v>0.72192471588266127</v>
      </c>
      <c r="V69" s="400"/>
      <c r="W69" s="377" t="s">
        <v>102</v>
      </c>
      <c r="X69" s="377"/>
      <c r="Y69" s="100" t="s">
        <v>13</v>
      </c>
      <c r="Z69" s="73">
        <v>4.3170543000000004E-3</v>
      </c>
      <c r="AA69" s="91">
        <f>$U$29*Z69</f>
        <v>10.753782261300001</v>
      </c>
      <c r="AB69" s="303"/>
      <c r="AC69" s="91">
        <f>AA69+AB69</f>
        <v>10.753782261300001</v>
      </c>
      <c r="AD69" s="69">
        <v>3.556</v>
      </c>
      <c r="AE69" s="91">
        <f t="shared" si="6"/>
        <v>7.1977822613000013</v>
      </c>
      <c r="AF69" s="143">
        <f t="shared" si="304"/>
        <v>0.33067435378500243</v>
      </c>
      <c r="AG69" s="256" t="s">
        <v>410</v>
      </c>
      <c r="AH69" s="393">
        <f t="shared" ref="AH69" si="407">AA69+AA70</f>
        <v>16.935804018900001</v>
      </c>
      <c r="AI69" s="386">
        <f t="shared" ref="AI69" si="408">AB69+AB70</f>
        <v>0</v>
      </c>
      <c r="AJ69" s="386">
        <f t="shared" ref="AJ69" si="409">AH69+AI69</f>
        <v>16.935804018900001</v>
      </c>
      <c r="AK69" s="386">
        <f t="shared" ref="AK69" si="410">AD69+AD70</f>
        <v>11.373999999999999</v>
      </c>
      <c r="AL69" s="386">
        <f t="shared" ref="AL69" si="411">AJ69-AK69</f>
        <v>5.561804018900002</v>
      </c>
      <c r="AM69" s="389">
        <f t="shared" ref="AM69" si="412">AK69/AJ69</f>
        <v>0.67159492323522718</v>
      </c>
      <c r="AR69" s="50"/>
      <c r="AS69" s="128"/>
      <c r="AT69" s="128"/>
      <c r="AU69" s="128">
        <f>SUM(AU37:AU68)</f>
        <v>-272.53200000000004</v>
      </c>
      <c r="AV69" s="128"/>
      <c r="AW69" s="128"/>
      <c r="AX69" s="135"/>
      <c r="AZ69" s="155"/>
      <c r="BA69" s="155"/>
      <c r="BB69" s="155"/>
      <c r="BC69" s="155"/>
      <c r="BD69" s="155"/>
      <c r="BE69" s="155"/>
      <c r="BF69" s="155"/>
      <c r="BH69" s="136"/>
      <c r="BL69" s="128"/>
      <c r="BM69" s="128"/>
      <c r="BN69" s="128"/>
      <c r="BO69" s="128">
        <f>SUM(BO37:BO68)</f>
        <v>-733.16500000000019</v>
      </c>
      <c r="BP69" s="128"/>
      <c r="BQ69" s="135"/>
    </row>
    <row r="70" spans="2:78" ht="27" customHeight="1" thickBot="1" x14ac:dyDescent="0.3">
      <c r="B70" s="494"/>
      <c r="C70" s="448"/>
      <c r="D70" s="444"/>
      <c r="E70" s="411"/>
      <c r="F70" s="333" t="s">
        <v>14</v>
      </c>
      <c r="G70" s="73">
        <v>1.1902403799999999E-2</v>
      </c>
      <c r="H70" s="91">
        <f t="shared" ref="H70" si="413">$U$31*G70</f>
        <v>17.044242241599999</v>
      </c>
      <c r="I70" s="307"/>
      <c r="J70" s="91">
        <f>H70+I70+L69</f>
        <v>7.2251301073999947</v>
      </c>
      <c r="K70" s="69">
        <v>5.2160000000000002</v>
      </c>
      <c r="L70" s="91">
        <f t="shared" si="296"/>
        <v>2.0091301073999945</v>
      </c>
      <c r="M70" s="143">
        <f t="shared" si="297"/>
        <v>0.72192471588266083</v>
      </c>
      <c r="N70" s="292" t="s">
        <v>410</v>
      </c>
      <c r="O70" s="407"/>
      <c r="P70" s="403"/>
      <c r="Q70" s="403"/>
      <c r="R70" s="403"/>
      <c r="S70" s="403"/>
      <c r="T70" s="396"/>
      <c r="V70" s="401"/>
      <c r="W70" s="397"/>
      <c r="X70" s="397"/>
      <c r="Y70" s="101" t="s">
        <v>14</v>
      </c>
      <c r="Z70" s="74">
        <v>4.3170543000000004E-3</v>
      </c>
      <c r="AA70" s="94">
        <f>$U$31*Z70</f>
        <v>6.1820217576000003</v>
      </c>
      <c r="AB70" s="78"/>
      <c r="AC70" s="94">
        <f>AA70+AB70+AE69</f>
        <v>13.379804018900002</v>
      </c>
      <c r="AD70" s="77">
        <v>7.8179999999999996</v>
      </c>
      <c r="AE70" s="94">
        <f t="shared" si="6"/>
        <v>5.561804018900002</v>
      </c>
      <c r="AF70" s="144">
        <f t="shared" si="304"/>
        <v>0.58431349136029753</v>
      </c>
      <c r="AG70" s="259" t="s">
        <v>410</v>
      </c>
      <c r="AH70" s="394"/>
      <c r="AI70" s="387"/>
      <c r="AJ70" s="387"/>
      <c r="AK70" s="387"/>
      <c r="AL70" s="387"/>
      <c r="AM70" s="390"/>
      <c r="AR70" s="50"/>
      <c r="AX70" s="197"/>
      <c r="AZ70" s="155"/>
      <c r="BA70" s="155"/>
      <c r="BB70" s="155"/>
      <c r="BC70" s="155"/>
      <c r="BD70" s="155"/>
      <c r="BE70" s="155"/>
      <c r="BF70" s="155"/>
      <c r="BH70" s="136"/>
    </row>
    <row r="71" spans="2:78" ht="20.100000000000001" customHeight="1" x14ac:dyDescent="0.25">
      <c r="B71" s="494"/>
      <c r="C71" s="448"/>
      <c r="D71" s="443" t="s">
        <v>105</v>
      </c>
      <c r="E71" s="410" t="s">
        <v>229</v>
      </c>
      <c r="F71" s="333" t="s">
        <v>13</v>
      </c>
      <c r="G71" s="73">
        <v>2.2940783100000001E-2</v>
      </c>
      <c r="H71" s="70">
        <v>56.109000000000002</v>
      </c>
      <c r="I71" s="307">
        <f>-88.365</f>
        <v>-88.364999999999995</v>
      </c>
      <c r="J71" s="91">
        <f>H71+I71</f>
        <v>-32.255999999999993</v>
      </c>
      <c r="K71" s="69"/>
      <c r="L71" s="91">
        <f t="shared" si="296"/>
        <v>-32.255999999999993</v>
      </c>
      <c r="M71" s="143">
        <v>0</v>
      </c>
      <c r="N71" s="260">
        <v>43154</v>
      </c>
      <c r="O71" s="406">
        <f t="shared" ref="O71" si="414">H71+H72</f>
        <v>88.365000000000009</v>
      </c>
      <c r="P71" s="405">
        <f t="shared" ref="P71" si="415">I71+I72</f>
        <v>-88.364999999999995</v>
      </c>
      <c r="Q71" s="402">
        <f t="shared" ref="Q71" si="416">O71+P71</f>
        <v>0</v>
      </c>
      <c r="R71" s="404">
        <f t="shared" ref="R71" si="417">K71+K72</f>
        <v>0</v>
      </c>
      <c r="S71" s="402">
        <f t="shared" ref="S71" si="418">Q71-R71</f>
        <v>0</v>
      </c>
      <c r="T71" s="395">
        <v>1</v>
      </c>
      <c r="Z71" s="128"/>
      <c r="AA71" s="129"/>
      <c r="AB71" s="128">
        <f>SUM(AB37:AB70)</f>
        <v>-831.02600000000018</v>
      </c>
      <c r="AC71" s="128"/>
      <c r="AD71" s="128"/>
      <c r="AE71" s="130"/>
      <c r="AP71" s="433" t="s">
        <v>30</v>
      </c>
      <c r="AQ71" s="109" t="s">
        <v>103</v>
      </c>
      <c r="AR71" s="104">
        <f t="shared" ref="AR71:AV72" si="419">AT37+AT39+AT41+AT43+AT45+AT47+AT49+AT51+AT53+AT55+AT57+AT61+AT63+AT65+AT67+AT59</f>
        <v>663.31157932689996</v>
      </c>
      <c r="AS71" s="104">
        <f t="shared" si="419"/>
        <v>-204.03800000000001</v>
      </c>
      <c r="AT71" s="104">
        <f t="shared" si="419"/>
        <v>459.27357932689995</v>
      </c>
      <c r="AU71" s="104">
        <f t="shared" si="419"/>
        <v>275.30599999999998</v>
      </c>
      <c r="AV71" s="105">
        <f t="shared" si="419"/>
        <v>183.96757932690002</v>
      </c>
      <c r="AY71" s="155"/>
      <c r="BI71" s="433" t="s">
        <v>106</v>
      </c>
      <c r="BJ71" s="102" t="s">
        <v>103</v>
      </c>
      <c r="BK71" s="114">
        <f t="shared" ref="BK71:BO72" si="420">BN37+BN39+BN41+BN43+BN45+BN47+BN49+BN51+BN53+BN55+BN57+BN59+BN61+BN63+BN65+BN67</f>
        <v>656.86051567189998</v>
      </c>
      <c r="BL71" s="114">
        <f t="shared" si="420"/>
        <v>-525.64200000000005</v>
      </c>
      <c r="BM71" s="114">
        <f t="shared" si="420"/>
        <v>131.21851567189998</v>
      </c>
      <c r="BN71" s="114">
        <f t="shared" si="420"/>
        <v>95.275999999999996</v>
      </c>
      <c r="BO71" s="115">
        <f t="shared" si="420"/>
        <v>35.942515671899997</v>
      </c>
    </row>
    <row r="72" spans="2:78" ht="24" customHeight="1" thickBot="1" x14ac:dyDescent="0.3">
      <c r="B72" s="494"/>
      <c r="C72" s="448"/>
      <c r="D72" s="444"/>
      <c r="E72" s="411"/>
      <c r="F72" s="333" t="s">
        <v>14</v>
      </c>
      <c r="G72" s="73">
        <v>2.2940783100000001E-2</v>
      </c>
      <c r="H72" s="70">
        <v>32.256</v>
      </c>
      <c r="I72" s="307"/>
      <c r="J72" s="91">
        <f>H72+I72+L71</f>
        <v>0</v>
      </c>
      <c r="K72" s="69"/>
      <c r="L72" s="91">
        <f t="shared" si="296"/>
        <v>0</v>
      </c>
      <c r="M72" s="143">
        <v>0</v>
      </c>
      <c r="N72" s="260">
        <v>43166</v>
      </c>
      <c r="O72" s="407"/>
      <c r="P72" s="403"/>
      <c r="Q72" s="403"/>
      <c r="R72" s="403"/>
      <c r="S72" s="403"/>
      <c r="T72" s="396"/>
      <c r="AA72" s="124"/>
      <c r="AP72" s="434"/>
      <c r="AQ72" s="110" t="s">
        <v>104</v>
      </c>
      <c r="AR72" s="106">
        <f t="shared" si="419"/>
        <v>274.27043620879999</v>
      </c>
      <c r="AS72" s="106">
        <f t="shared" si="419"/>
        <v>-68.494</v>
      </c>
      <c r="AT72" s="106">
        <f t="shared" si="419"/>
        <v>389.74401553569999</v>
      </c>
      <c r="AU72" s="106">
        <f t="shared" si="419"/>
        <v>355.86899999999997</v>
      </c>
      <c r="AV72" s="107">
        <f t="shared" si="419"/>
        <v>33.875015535699973</v>
      </c>
      <c r="AY72" s="155"/>
      <c r="BI72" s="434"/>
      <c r="BJ72" s="103" t="s">
        <v>104</v>
      </c>
      <c r="BK72" s="116">
        <f t="shared" si="420"/>
        <v>279.63868664879999</v>
      </c>
      <c r="BL72" s="116">
        <f t="shared" si="420"/>
        <v>-207.523</v>
      </c>
      <c r="BM72" s="116">
        <f t="shared" si="420"/>
        <v>108.05820232069998</v>
      </c>
      <c r="BN72" s="116">
        <f t="shared" si="420"/>
        <v>103.254</v>
      </c>
      <c r="BO72" s="117">
        <f t="shared" si="420"/>
        <v>4.8042023207000053</v>
      </c>
    </row>
    <row r="73" spans="2:78" ht="20.100000000000001" customHeight="1" x14ac:dyDescent="0.25">
      <c r="B73" s="494"/>
      <c r="C73" s="448"/>
      <c r="D73" s="438" t="s">
        <v>107</v>
      </c>
      <c r="E73" s="408" t="s">
        <v>230</v>
      </c>
      <c r="F73" s="333" t="s">
        <v>13</v>
      </c>
      <c r="G73" s="75">
        <v>1.9612607800000001E-2</v>
      </c>
      <c r="H73" s="91">
        <f t="shared" ref="H73" si="421">$U$29*G73</f>
        <v>48.855006029800002</v>
      </c>
      <c r="I73" s="307">
        <f>-48.855</f>
        <v>-48.854999999999997</v>
      </c>
      <c r="J73" s="91">
        <f>H73+I73</f>
        <v>6.0298000050806877E-6</v>
      </c>
      <c r="K73" s="69"/>
      <c r="L73" s="91">
        <f t="shared" si="296"/>
        <v>6.0298000050806877E-6</v>
      </c>
      <c r="M73" s="143"/>
      <c r="N73" s="260">
        <v>43154</v>
      </c>
      <c r="O73" s="406">
        <f t="shared" ref="O73" si="422">H73+H74</f>
        <v>76.940260399400003</v>
      </c>
      <c r="P73" s="405">
        <f t="shared" ref="P73" si="423">I73+I74</f>
        <v>-76.94</v>
      </c>
      <c r="Q73" s="402">
        <f t="shared" ref="Q73" si="424">O73+P73</f>
        <v>2.6039940000543993E-4</v>
      </c>
      <c r="R73" s="404">
        <f t="shared" ref="R73" si="425">K73+K74</f>
        <v>0</v>
      </c>
      <c r="S73" s="402">
        <f t="shared" ref="S73" si="426">Q73-R73</f>
        <v>2.6039940000543993E-4</v>
      </c>
      <c r="T73" s="395">
        <f t="shared" ref="T73" si="427">R73/Q73</f>
        <v>0</v>
      </c>
      <c r="X73" s="433" t="s">
        <v>30</v>
      </c>
      <c r="Y73" s="102" t="s">
        <v>103</v>
      </c>
      <c r="Z73" s="104">
        <f t="shared" ref="Z73:AD74" si="428">AA37+AA39+AA41+AA43+AA45+AA47+AA49+AA51+AA53+AA55+AA57+AA59+AA61+AA63+AA65+AA67+AA69</f>
        <v>607.39708183589994</v>
      </c>
      <c r="AA73" s="104">
        <f t="shared" si="428"/>
        <v>-554.32100000000014</v>
      </c>
      <c r="AB73" s="104">
        <f t="shared" si="428"/>
        <v>53.076081835899991</v>
      </c>
      <c r="AC73" s="104">
        <f t="shared" si="428"/>
        <v>10.978999999999999</v>
      </c>
      <c r="AD73" s="105">
        <f t="shared" si="428"/>
        <v>42.097081835899992</v>
      </c>
      <c r="AR73" s="50"/>
      <c r="AY73" s="155"/>
    </row>
    <row r="74" spans="2:78" ht="24" customHeight="1" thickBot="1" x14ac:dyDescent="0.3">
      <c r="B74" s="494"/>
      <c r="C74" s="448"/>
      <c r="D74" s="439"/>
      <c r="E74" s="409"/>
      <c r="F74" s="333" t="s">
        <v>14</v>
      </c>
      <c r="G74" s="75">
        <v>1.9612607800000001E-2</v>
      </c>
      <c r="H74" s="91">
        <f t="shared" ref="H74" si="429">$U$31*G74</f>
        <v>28.085254369600001</v>
      </c>
      <c r="I74" s="307">
        <f>-28.085</f>
        <v>-28.085000000000001</v>
      </c>
      <c r="J74" s="91">
        <f>H74+I74+L73</f>
        <v>2.6039940000543993E-4</v>
      </c>
      <c r="K74" s="69"/>
      <c r="L74" s="91">
        <f t="shared" si="296"/>
        <v>2.6039940000543993E-4</v>
      </c>
      <c r="M74" s="143">
        <f t="shared" si="297"/>
        <v>0</v>
      </c>
      <c r="N74" s="260">
        <v>43166</v>
      </c>
      <c r="O74" s="407"/>
      <c r="P74" s="403"/>
      <c r="Q74" s="403"/>
      <c r="R74" s="403"/>
      <c r="S74" s="403"/>
      <c r="T74" s="396"/>
      <c r="X74" s="434"/>
      <c r="Y74" s="103" t="s">
        <v>104</v>
      </c>
      <c r="Z74" s="106">
        <f t="shared" si="428"/>
        <v>292.24919477679998</v>
      </c>
      <c r="AA74" s="106">
        <f t="shared" si="428"/>
        <v>-276.70500000000004</v>
      </c>
      <c r="AB74" s="106">
        <f t="shared" si="428"/>
        <v>57.641276612699983</v>
      </c>
      <c r="AC74" s="106">
        <f t="shared" si="428"/>
        <v>45.877999999999993</v>
      </c>
      <c r="AD74" s="107">
        <f t="shared" si="428"/>
        <v>11.763276612699981</v>
      </c>
      <c r="AR74" s="50"/>
      <c r="AY74" s="155"/>
    </row>
    <row r="75" spans="2:78" ht="20.100000000000001" customHeight="1" x14ac:dyDescent="0.25">
      <c r="B75" s="494"/>
      <c r="C75" s="448"/>
      <c r="D75" s="438" t="s">
        <v>108</v>
      </c>
      <c r="E75" s="408" t="s">
        <v>231</v>
      </c>
      <c r="F75" s="333" t="s">
        <v>13</v>
      </c>
      <c r="G75" s="75">
        <v>1.30862228E-2</v>
      </c>
      <c r="H75" s="70">
        <f t="shared" ref="H75" si="430">$U$29*G75</f>
        <v>32.597780994799997</v>
      </c>
      <c r="I75" s="307">
        <f>-32.598</f>
        <v>-32.597999999999999</v>
      </c>
      <c r="J75" s="91">
        <f>H75+I75</f>
        <v>-2.1900520000173174E-4</v>
      </c>
      <c r="K75" s="69"/>
      <c r="L75" s="91">
        <f t="shared" si="296"/>
        <v>-2.1900520000173174E-4</v>
      </c>
      <c r="M75" s="143">
        <f t="shared" si="297"/>
        <v>0</v>
      </c>
      <c r="N75" s="383">
        <v>43166</v>
      </c>
      <c r="O75" s="406">
        <f t="shared" ref="O75" si="431">H75+H76</f>
        <v>51.337252044399996</v>
      </c>
      <c r="P75" s="405">
        <f t="shared" ref="P75" si="432">I75+I76</f>
        <v>-51.337000000000003</v>
      </c>
      <c r="Q75" s="402">
        <f t="shared" ref="Q75" si="433">O75+P75</f>
        <v>2.5204439999271244E-4</v>
      </c>
      <c r="R75" s="404">
        <f t="shared" ref="R75" si="434">K75+K76</f>
        <v>0</v>
      </c>
      <c r="S75" s="402">
        <f t="shared" ref="S75" si="435">Q75-R75</f>
        <v>2.5204439999271244E-4</v>
      </c>
      <c r="T75" s="395">
        <f t="shared" ref="T75" si="436">R75/Q75</f>
        <v>0</v>
      </c>
      <c r="AR75" s="50"/>
      <c r="AY75" s="155"/>
    </row>
    <row r="76" spans="2:78" ht="15.75" thickBot="1" x14ac:dyDescent="0.3">
      <c r="B76" s="494"/>
      <c r="C76" s="448"/>
      <c r="D76" s="439"/>
      <c r="E76" s="409"/>
      <c r="F76" s="333" t="s">
        <v>14</v>
      </c>
      <c r="G76" s="75">
        <v>1.30862228E-2</v>
      </c>
      <c r="H76" s="70">
        <f t="shared" ref="H76" si="437">$U$31*G76</f>
        <v>18.739471049599999</v>
      </c>
      <c r="I76" s="307">
        <f>-18.739</f>
        <v>-18.739000000000001</v>
      </c>
      <c r="J76" s="91">
        <f>H76+I76+L75</f>
        <v>2.5204439999626516E-4</v>
      </c>
      <c r="K76" s="69"/>
      <c r="L76" s="91">
        <f t="shared" si="296"/>
        <v>2.5204439999626516E-4</v>
      </c>
      <c r="M76" s="143">
        <f t="shared" si="297"/>
        <v>0</v>
      </c>
      <c r="N76" s="383"/>
      <c r="O76" s="407"/>
      <c r="P76" s="403"/>
      <c r="Q76" s="403"/>
      <c r="R76" s="403"/>
      <c r="S76" s="403"/>
      <c r="T76" s="396"/>
      <c r="AR76" s="50"/>
      <c r="AY76" s="155"/>
    </row>
    <row r="77" spans="2:78" ht="20.100000000000001" customHeight="1" x14ac:dyDescent="0.25">
      <c r="B77" s="494"/>
      <c r="C77" s="448"/>
      <c r="D77" s="451" t="s">
        <v>109</v>
      </c>
      <c r="E77" s="436" t="s">
        <v>232</v>
      </c>
      <c r="F77" s="333" t="s">
        <v>13</v>
      </c>
      <c r="G77" s="73">
        <v>1.3707184799999999E-2</v>
      </c>
      <c r="H77" s="91">
        <v>55.404000000000003</v>
      </c>
      <c r="I77" s="307">
        <f>-34.145-5.325</f>
        <v>-39.470000000000006</v>
      </c>
      <c r="J77" s="91">
        <f>H77+I77</f>
        <v>15.933999999999997</v>
      </c>
      <c r="K77" s="69">
        <v>0.75600000000000001</v>
      </c>
      <c r="L77" s="91">
        <f t="shared" si="296"/>
        <v>15.177999999999997</v>
      </c>
      <c r="M77" s="143">
        <f t="shared" si="297"/>
        <v>4.7445713568469945E-2</v>
      </c>
      <c r="N77" s="292" t="s">
        <v>410</v>
      </c>
      <c r="O77" s="406">
        <f t="shared" ref="O77" si="438">H77+H78</f>
        <v>55.405000000000001</v>
      </c>
      <c r="P77" s="405">
        <f t="shared" ref="P77" si="439">I77+I78</f>
        <v>-51.555000000000007</v>
      </c>
      <c r="Q77" s="402">
        <f t="shared" ref="Q77" si="440">O77+P77</f>
        <v>3.8499999999999943</v>
      </c>
      <c r="R77" s="404">
        <f t="shared" ref="R77" si="441">K77+K78</f>
        <v>3.1779999999999999</v>
      </c>
      <c r="S77" s="402">
        <f t="shared" ref="S77" si="442">Q77-R77</f>
        <v>0.67199999999999438</v>
      </c>
      <c r="T77" s="395">
        <f t="shared" ref="T77" si="443">R77/Q77</f>
        <v>0.82545454545454666</v>
      </c>
      <c r="AR77" s="50"/>
      <c r="AY77" s="155"/>
    </row>
    <row r="78" spans="2:78" ht="25.5" customHeight="1" thickBot="1" x14ac:dyDescent="0.3">
      <c r="B78" s="494"/>
      <c r="C78" s="448"/>
      <c r="D78" s="452"/>
      <c r="E78" s="437"/>
      <c r="F78" s="333" t="s">
        <v>14</v>
      </c>
      <c r="G78" s="73">
        <v>1.3707184799999999E-2</v>
      </c>
      <c r="H78" s="91">
        <v>1E-3</v>
      </c>
      <c r="I78" s="307">
        <f>-12.085</f>
        <v>-12.085000000000001</v>
      </c>
      <c r="J78" s="91">
        <f>H78+I78+L77</f>
        <v>3.0939999999999959</v>
      </c>
      <c r="K78" s="69">
        <v>2.4220000000000002</v>
      </c>
      <c r="L78" s="91">
        <f t="shared" si="296"/>
        <v>0.67199999999999571</v>
      </c>
      <c r="M78" s="143">
        <f t="shared" si="297"/>
        <v>0.7828054298642545</v>
      </c>
      <c r="N78" s="292" t="s">
        <v>410</v>
      </c>
      <c r="O78" s="407"/>
      <c r="P78" s="403"/>
      <c r="Q78" s="403"/>
      <c r="R78" s="403"/>
      <c r="S78" s="403"/>
      <c r="T78" s="396"/>
      <c r="AR78" s="50"/>
      <c r="AY78" s="155"/>
    </row>
    <row r="79" spans="2:78" ht="22.5" customHeight="1" x14ac:dyDescent="0.25">
      <c r="B79" s="494"/>
      <c r="C79" s="448"/>
      <c r="D79" s="443" t="s">
        <v>110</v>
      </c>
      <c r="E79" s="410" t="s">
        <v>233</v>
      </c>
      <c r="F79" s="333" t="s">
        <v>13</v>
      </c>
      <c r="G79" s="73">
        <v>2.0106202E-2</v>
      </c>
      <c r="H79" s="70">
        <v>50.085000000000001</v>
      </c>
      <c r="I79" s="307">
        <f>-50.085</f>
        <v>-50.085000000000001</v>
      </c>
      <c r="J79" s="91">
        <f>H79+I79</f>
        <v>0</v>
      </c>
      <c r="K79" s="69"/>
      <c r="L79" s="91">
        <f t="shared" si="296"/>
        <v>0</v>
      </c>
      <c r="M79" s="143">
        <v>0</v>
      </c>
      <c r="N79" s="260">
        <v>43154</v>
      </c>
      <c r="O79" s="406">
        <f t="shared" ref="O79" si="444">H79+H80</f>
        <v>78.877081263999997</v>
      </c>
      <c r="P79" s="405">
        <f t="shared" ref="P79" si="445">I79+I80</f>
        <v>-78.87700000000001</v>
      </c>
      <c r="Q79" s="402">
        <f t="shared" ref="Q79" si="446">O79+P79</f>
        <v>8.1263999987868374E-5</v>
      </c>
      <c r="R79" s="404">
        <f t="shared" ref="R79" si="447">K79+K80</f>
        <v>0</v>
      </c>
      <c r="S79" s="402">
        <f t="shared" ref="S79" si="448">Q79-R79</f>
        <v>8.1263999987868374E-5</v>
      </c>
      <c r="T79" s="395">
        <f t="shared" ref="T79" si="449">R79/Q79</f>
        <v>0</v>
      </c>
      <c r="AR79" s="50"/>
      <c r="AY79" s="155"/>
    </row>
    <row r="80" spans="2:78" ht="21.75" customHeight="1" thickBot="1" x14ac:dyDescent="0.3">
      <c r="B80" s="494"/>
      <c r="C80" s="448"/>
      <c r="D80" s="444"/>
      <c r="E80" s="411"/>
      <c r="F80" s="333" t="s">
        <v>14</v>
      </c>
      <c r="G80" s="73">
        <v>2.0106202E-2</v>
      </c>
      <c r="H80" s="70">
        <f t="shared" ref="H80" si="450">$U$31*G80</f>
        <v>28.792081264</v>
      </c>
      <c r="I80" s="307">
        <f>-28.792</f>
        <v>-28.792000000000002</v>
      </c>
      <c r="J80" s="91">
        <f>H80+I80+L79</f>
        <v>8.1263999998526515E-5</v>
      </c>
      <c r="K80" s="69"/>
      <c r="L80" s="91">
        <f t="shared" si="296"/>
        <v>8.1263999998526515E-5</v>
      </c>
      <c r="M80" s="143">
        <f t="shared" si="297"/>
        <v>0</v>
      </c>
      <c r="N80" s="260">
        <v>43166</v>
      </c>
      <c r="O80" s="407"/>
      <c r="P80" s="403"/>
      <c r="Q80" s="403"/>
      <c r="R80" s="403"/>
      <c r="S80" s="403"/>
      <c r="T80" s="396"/>
      <c r="AR80" s="50"/>
      <c r="AY80" s="155"/>
    </row>
    <row r="81" spans="2:69" ht="20.100000000000001" customHeight="1" x14ac:dyDescent="0.25">
      <c r="B81" s="494"/>
      <c r="C81" s="448"/>
      <c r="D81" s="443" t="s">
        <v>111</v>
      </c>
      <c r="E81" s="410" t="s">
        <v>234</v>
      </c>
      <c r="F81" s="333" t="s">
        <v>13</v>
      </c>
      <c r="G81" s="73">
        <v>1.92966044E-2</v>
      </c>
      <c r="H81" s="91">
        <v>75.7</v>
      </c>
      <c r="I81" s="307">
        <f>-41.605</f>
        <v>-41.604999999999997</v>
      </c>
      <c r="J81" s="91">
        <f>H81+I81</f>
        <v>34.095000000000006</v>
      </c>
      <c r="K81" s="69">
        <v>17.818999999999999</v>
      </c>
      <c r="L81" s="91">
        <f>J81-K81</f>
        <v>16.276000000000007</v>
      </c>
      <c r="M81" s="143">
        <f>K81/J81</f>
        <v>0.52262795131250905</v>
      </c>
      <c r="N81" s="292" t="s">
        <v>410</v>
      </c>
      <c r="O81" s="406">
        <f t="shared" ref="O81" si="451">H81+H82</f>
        <v>75.701000000000008</v>
      </c>
      <c r="P81" s="405">
        <f t="shared" ref="P81" si="452">I81+I82</f>
        <v>-41.604999999999997</v>
      </c>
      <c r="Q81" s="402">
        <f t="shared" ref="Q81" si="453">O81+P81</f>
        <v>34.096000000000011</v>
      </c>
      <c r="R81" s="404">
        <f t="shared" ref="R81" si="454">K81+K82</f>
        <v>32.664999999999999</v>
      </c>
      <c r="S81" s="402">
        <f t="shared" ref="S81" si="455">Q81-R81</f>
        <v>1.4310000000000116</v>
      </c>
      <c r="T81" s="395">
        <f t="shared" ref="T81" si="456">R81/Q81</f>
        <v>0.95803026748005593</v>
      </c>
      <c r="AR81" s="50"/>
      <c r="AY81" s="155"/>
    </row>
    <row r="82" spans="2:69" ht="25.5" customHeight="1" thickBot="1" x14ac:dyDescent="0.3">
      <c r="B82" s="494"/>
      <c r="C82" s="448"/>
      <c r="D82" s="444"/>
      <c r="E82" s="411"/>
      <c r="F82" s="333" t="s">
        <v>14</v>
      </c>
      <c r="G82" s="73">
        <v>1.92966044E-2</v>
      </c>
      <c r="H82" s="91">
        <v>1E-3</v>
      </c>
      <c r="I82" s="307"/>
      <c r="J82" s="91">
        <f>H82+I82+L81</f>
        <v>16.277000000000008</v>
      </c>
      <c r="K82" s="69">
        <v>14.846</v>
      </c>
      <c r="L82" s="91">
        <f>J82-K82</f>
        <v>1.431000000000008</v>
      </c>
      <c r="M82" s="143">
        <f>K82/J82</f>
        <v>0.91208453646249266</v>
      </c>
      <c r="N82" s="292" t="s">
        <v>410</v>
      </c>
      <c r="O82" s="407"/>
      <c r="P82" s="403"/>
      <c r="Q82" s="403"/>
      <c r="R82" s="403"/>
      <c r="S82" s="403"/>
      <c r="T82" s="396"/>
      <c r="AR82" s="50"/>
      <c r="AY82" s="155"/>
    </row>
    <row r="83" spans="2:69" ht="20.100000000000001" customHeight="1" x14ac:dyDescent="0.25">
      <c r="B83" s="494"/>
      <c r="C83" s="448"/>
      <c r="D83" s="443" t="s">
        <v>112</v>
      </c>
      <c r="E83" s="410" t="s">
        <v>235</v>
      </c>
      <c r="F83" s="333" t="s">
        <v>13</v>
      </c>
      <c r="G83" s="73">
        <v>1.7914275600000001E-2</v>
      </c>
      <c r="H83" s="70">
        <f t="shared" ref="H83" si="457">$U$29*G83</f>
        <v>44.624460519600007</v>
      </c>
      <c r="I83" s="307">
        <f>-44.624</f>
        <v>-44.624000000000002</v>
      </c>
      <c r="J83" s="91">
        <f>H83+I83</f>
        <v>4.6051960000426106E-4</v>
      </c>
      <c r="K83" s="69"/>
      <c r="L83" s="91">
        <f>J83-K83</f>
        <v>4.6051960000426106E-4</v>
      </c>
      <c r="M83" s="143">
        <f>K83/J83</f>
        <v>0</v>
      </c>
      <c r="N83" s="292" t="s">
        <v>410</v>
      </c>
      <c r="O83" s="406">
        <f t="shared" ref="O83" si="458">H83+H84</f>
        <v>70.27770317880001</v>
      </c>
      <c r="P83" s="405">
        <f t="shared" ref="P83" si="459">I83+I84</f>
        <v>-70.277000000000001</v>
      </c>
      <c r="Q83" s="402">
        <f t="shared" ref="Q83" si="460">O83+P83</f>
        <v>7.0317880000914101E-4</v>
      </c>
      <c r="R83" s="404">
        <f t="shared" ref="R83" si="461">K83+K84</f>
        <v>0</v>
      </c>
      <c r="S83" s="402">
        <f t="shared" ref="S83" si="462">Q83-R83</f>
        <v>7.0317880000914101E-4</v>
      </c>
      <c r="T83" s="395">
        <f t="shared" ref="T83" si="463">R83/Q83</f>
        <v>0</v>
      </c>
      <c r="AR83" s="50"/>
      <c r="AY83" s="155"/>
    </row>
    <row r="84" spans="2:69" ht="27.75" customHeight="1" thickBot="1" x14ac:dyDescent="0.3">
      <c r="B84" s="494"/>
      <c r="C84" s="448"/>
      <c r="D84" s="444"/>
      <c r="E84" s="411"/>
      <c r="F84" s="333" t="s">
        <v>14</v>
      </c>
      <c r="G84" s="73">
        <v>1.7914275600000001E-2</v>
      </c>
      <c r="H84" s="70">
        <f t="shared" ref="H84" si="464">$U$31*G84</f>
        <v>25.653242659200004</v>
      </c>
      <c r="I84" s="307">
        <f>-25.653</f>
        <v>-25.652999999999999</v>
      </c>
      <c r="J84" s="91">
        <f>H84+I84+L83</f>
        <v>7.0317880000914101E-4</v>
      </c>
      <c r="K84" s="69"/>
      <c r="L84" s="91">
        <f>J84-K84</f>
        <v>7.0317880000914101E-4</v>
      </c>
      <c r="M84" s="143">
        <f>K84/J84</f>
        <v>0</v>
      </c>
      <c r="N84" s="292" t="s">
        <v>410</v>
      </c>
      <c r="O84" s="407"/>
      <c r="P84" s="403"/>
      <c r="Q84" s="403"/>
      <c r="R84" s="403"/>
      <c r="S84" s="403"/>
      <c r="T84" s="396"/>
      <c r="AR84" s="50"/>
      <c r="AY84" s="155"/>
    </row>
    <row r="85" spans="2:69" ht="20.100000000000001" customHeight="1" x14ac:dyDescent="0.25">
      <c r="B85" s="494"/>
      <c r="C85" s="448"/>
      <c r="D85" s="438" t="s">
        <v>113</v>
      </c>
      <c r="E85" s="408" t="s">
        <v>236</v>
      </c>
      <c r="F85" s="333" t="s">
        <v>13</v>
      </c>
      <c r="G85" s="75">
        <v>2.8822000399999999E-2</v>
      </c>
      <c r="H85" s="91">
        <f t="shared" ref="H85" si="465">$U$29*G85</f>
        <v>71.795602996399992</v>
      </c>
      <c r="I85" s="307">
        <f>-71.796</f>
        <v>-71.796000000000006</v>
      </c>
      <c r="J85" s="91">
        <f>H85+I85</f>
        <v>-3.9700360001404533E-4</v>
      </c>
      <c r="K85" s="69"/>
      <c r="L85" s="91">
        <f t="shared" si="5"/>
        <v>-3.9700360001404533E-4</v>
      </c>
      <c r="M85" s="143">
        <f t="shared" si="297"/>
        <v>0</v>
      </c>
      <c r="N85" s="383">
        <v>43166</v>
      </c>
      <c r="O85" s="406">
        <f t="shared" ref="O85" si="466">H85+H86</f>
        <v>113.0687075692</v>
      </c>
      <c r="P85" s="405">
        <f t="shared" ref="P85" si="467">I85+I86</f>
        <v>-113.06900000000002</v>
      </c>
      <c r="Q85" s="402">
        <f t="shared" ref="Q85" si="468">O85+P85</f>
        <v>-2.9243080001606359E-4</v>
      </c>
      <c r="R85" s="404">
        <f t="shared" ref="R85" si="469">K85+K86</f>
        <v>0</v>
      </c>
      <c r="S85" s="402">
        <f t="shared" ref="S85" si="470">Q85-R85</f>
        <v>-2.9243080001606359E-4</v>
      </c>
      <c r="T85" s="395">
        <f t="shared" ref="T85" si="471">R85/Q85</f>
        <v>0</v>
      </c>
      <c r="AR85" s="50"/>
      <c r="AY85" s="155"/>
    </row>
    <row r="86" spans="2:69" ht="27.75" customHeight="1" thickBot="1" x14ac:dyDescent="0.3">
      <c r="B86" s="494"/>
      <c r="C86" s="448"/>
      <c r="D86" s="439"/>
      <c r="E86" s="409"/>
      <c r="F86" s="333" t="s">
        <v>14</v>
      </c>
      <c r="G86" s="75">
        <v>2.8822000399999999E-2</v>
      </c>
      <c r="H86" s="91">
        <f t="shared" ref="H86" si="472">$U$31*G86</f>
        <v>41.273104572800001</v>
      </c>
      <c r="I86" s="307">
        <f>-41.273</f>
        <v>-41.273000000000003</v>
      </c>
      <c r="J86" s="91">
        <f>H86+I86+L85</f>
        <v>-2.9243080001606359E-4</v>
      </c>
      <c r="K86" s="69"/>
      <c r="L86" s="91">
        <f t="shared" si="5"/>
        <v>-2.9243080001606359E-4</v>
      </c>
      <c r="M86" s="143">
        <f t="shared" si="297"/>
        <v>0</v>
      </c>
      <c r="N86" s="383"/>
      <c r="O86" s="407"/>
      <c r="P86" s="403"/>
      <c r="Q86" s="403"/>
      <c r="R86" s="403"/>
      <c r="S86" s="403"/>
      <c r="T86" s="396"/>
      <c r="AR86" s="50"/>
      <c r="AY86" s="155"/>
    </row>
    <row r="87" spans="2:69" ht="20.100000000000001" customHeight="1" x14ac:dyDescent="0.25">
      <c r="B87" s="494"/>
      <c r="C87" s="448"/>
      <c r="D87" s="443" t="s">
        <v>114</v>
      </c>
      <c r="E87" s="410" t="s">
        <v>237</v>
      </c>
      <c r="F87" s="333" t="s">
        <v>13</v>
      </c>
      <c r="G87" s="73">
        <v>2.7236206400000001E-2</v>
      </c>
      <c r="H87" s="70">
        <f t="shared" ref="H87" si="473">$U$29*G87</f>
        <v>67.845390142400007</v>
      </c>
      <c r="I87" s="307">
        <f>-99.107</f>
        <v>-99.106999999999999</v>
      </c>
      <c r="J87" s="91">
        <f>H87+I87</f>
        <v>-31.261609857599993</v>
      </c>
      <c r="K87" s="69"/>
      <c r="L87" s="91">
        <f>J87-K87</f>
        <v>-31.261609857599993</v>
      </c>
      <c r="M87" s="143">
        <v>0</v>
      </c>
      <c r="N87" s="260">
        <v>43166</v>
      </c>
      <c r="O87" s="406">
        <f t="shared" ref="O87" si="474">H87+H88</f>
        <v>106.84763770720001</v>
      </c>
      <c r="P87" s="405">
        <f t="shared" ref="P87" si="475">I87+I88</f>
        <v>-101.206</v>
      </c>
      <c r="Q87" s="402">
        <f t="shared" ref="Q87" si="476">O87+P87</f>
        <v>5.6416377072000046</v>
      </c>
      <c r="R87" s="404">
        <f t="shared" ref="R87" si="477">K87+K88</f>
        <v>2.1840000000000002</v>
      </c>
      <c r="S87" s="402">
        <f t="shared" ref="S87" si="478">Q87-R87</f>
        <v>3.4576377072000044</v>
      </c>
      <c r="T87" s="395">
        <f t="shared" ref="T87" si="479">R87/Q87</f>
        <v>0.38712163264449306</v>
      </c>
      <c r="AR87" s="50"/>
      <c r="AY87" s="155"/>
    </row>
    <row r="88" spans="2:69" ht="20.100000000000001" customHeight="1" thickBot="1" x14ac:dyDescent="0.3">
      <c r="B88" s="494"/>
      <c r="C88" s="448"/>
      <c r="D88" s="444"/>
      <c r="E88" s="411"/>
      <c r="F88" s="333" t="s">
        <v>14</v>
      </c>
      <c r="G88" s="73">
        <v>2.7236206400000001E-2</v>
      </c>
      <c r="H88" s="70">
        <f t="shared" ref="H88" si="480">$U$31*G88</f>
        <v>39.002247564800001</v>
      </c>
      <c r="I88" s="307">
        <f>-2.099</f>
        <v>-2.0990000000000002</v>
      </c>
      <c r="J88" s="91">
        <f>H88+I88+L87</f>
        <v>5.6416377072000046</v>
      </c>
      <c r="K88" s="69">
        <v>2.1840000000000002</v>
      </c>
      <c r="L88" s="91">
        <f>J88-K88</f>
        <v>3.4576377072000044</v>
      </c>
      <c r="M88" s="143">
        <v>0</v>
      </c>
      <c r="N88" s="292" t="s">
        <v>410</v>
      </c>
      <c r="O88" s="407"/>
      <c r="P88" s="403"/>
      <c r="Q88" s="403"/>
      <c r="R88" s="403"/>
      <c r="S88" s="403"/>
      <c r="T88" s="396"/>
      <c r="AR88" s="50"/>
      <c r="AY88" s="155"/>
    </row>
    <row r="89" spans="2:69" ht="22.5" customHeight="1" x14ac:dyDescent="0.25">
      <c r="B89" s="494"/>
      <c r="C89" s="448"/>
      <c r="D89" s="443" t="s">
        <v>115</v>
      </c>
      <c r="E89" s="410">
        <v>4759</v>
      </c>
      <c r="F89" s="333" t="s">
        <v>13</v>
      </c>
      <c r="G89" s="73">
        <v>3.3778456999999998E-3</v>
      </c>
      <c r="H89" s="91">
        <f t="shared" ref="H89" si="481">$U$29*G89</f>
        <v>8.4142136386999997</v>
      </c>
      <c r="I89" s="307"/>
      <c r="J89" s="91">
        <f>H89+I89</f>
        <v>8.4142136386999997</v>
      </c>
      <c r="K89" s="69">
        <v>1.5640000000000001</v>
      </c>
      <c r="L89" s="91">
        <f>J89-K89</f>
        <v>6.8502136386999997</v>
      </c>
      <c r="M89" s="143">
        <v>0</v>
      </c>
      <c r="N89" s="292" t="s">
        <v>410</v>
      </c>
      <c r="O89" s="406">
        <f t="shared" ref="O89" si="482">H89+H90</f>
        <v>13.2512886811</v>
      </c>
      <c r="P89" s="405">
        <f t="shared" ref="P89" si="483">I89+I90</f>
        <v>0</v>
      </c>
      <c r="Q89" s="402">
        <f t="shared" ref="Q89" si="484">O89+P89</f>
        <v>13.2512886811</v>
      </c>
      <c r="R89" s="404">
        <f t="shared" ref="R89" si="485">K89+K90</f>
        <v>12.806000000000001</v>
      </c>
      <c r="S89" s="402">
        <f t="shared" ref="S89" si="486">Q89-R89</f>
        <v>0.4452886810999992</v>
      </c>
      <c r="T89" s="395">
        <f t="shared" ref="T89" si="487">R89/Q89</f>
        <v>0.96639657532062495</v>
      </c>
      <c r="AR89" s="50"/>
      <c r="AY89" s="155"/>
    </row>
    <row r="90" spans="2:69" ht="21" customHeight="1" thickBot="1" x14ac:dyDescent="0.3">
      <c r="B90" s="494"/>
      <c r="C90" s="448"/>
      <c r="D90" s="444"/>
      <c r="E90" s="411"/>
      <c r="F90" s="333" t="s">
        <v>14</v>
      </c>
      <c r="G90" s="73">
        <v>3.3778456999999998E-3</v>
      </c>
      <c r="H90" s="91">
        <f t="shared" ref="H90" si="488">$U$31*G90</f>
        <v>4.8370750423999995</v>
      </c>
      <c r="I90" s="307"/>
      <c r="J90" s="91">
        <f>H90+I90+L89</f>
        <v>11.6872886811</v>
      </c>
      <c r="K90" s="69">
        <v>11.242000000000001</v>
      </c>
      <c r="L90" s="91">
        <f>J90-K90</f>
        <v>0.4452886810999992</v>
      </c>
      <c r="M90" s="143">
        <f>K90/J90</f>
        <v>0.96189974482104701</v>
      </c>
      <c r="N90" s="292" t="s">
        <v>410</v>
      </c>
      <c r="O90" s="407"/>
      <c r="P90" s="403"/>
      <c r="Q90" s="403"/>
      <c r="R90" s="403"/>
      <c r="S90" s="403"/>
      <c r="T90" s="396"/>
      <c r="AR90" s="50"/>
      <c r="AY90" s="155"/>
    </row>
    <row r="91" spans="2:69" ht="21.75" customHeight="1" x14ac:dyDescent="0.25">
      <c r="B91" s="494"/>
      <c r="C91" s="448"/>
      <c r="D91" s="438" t="s">
        <v>116</v>
      </c>
      <c r="E91" s="408" t="s">
        <v>238</v>
      </c>
      <c r="F91" s="333" t="s">
        <v>13</v>
      </c>
      <c r="G91" s="75">
        <v>6.1819585999999998E-3</v>
      </c>
      <c r="H91" s="70">
        <f t="shared" ref="H91" si="489">$U$29*G91</f>
        <v>15.399258872599999</v>
      </c>
      <c r="I91" s="307">
        <f>-15.399</f>
        <v>-15.398999999999999</v>
      </c>
      <c r="J91" s="91">
        <f>H91+I91</f>
        <v>2.588725999999042E-4</v>
      </c>
      <c r="K91" s="69"/>
      <c r="L91" s="91">
        <f t="shared" si="5"/>
        <v>2.588725999999042E-4</v>
      </c>
      <c r="M91" s="143">
        <f t="shared" si="58"/>
        <v>0</v>
      </c>
      <c r="N91" s="383">
        <v>43166</v>
      </c>
      <c r="O91" s="406">
        <f t="shared" ref="O91" si="490">H91+H92</f>
        <v>24.251823587799997</v>
      </c>
      <c r="P91" s="405">
        <f t="shared" ref="P91" si="491">I91+I92</f>
        <v>-24.251999999999999</v>
      </c>
      <c r="Q91" s="402">
        <f t="shared" ref="Q91" si="492">O91+P91</f>
        <v>-1.7641220000186308E-4</v>
      </c>
      <c r="R91" s="404">
        <f t="shared" ref="R91" si="493">K91+K92</f>
        <v>0</v>
      </c>
      <c r="S91" s="402">
        <f t="shared" ref="S91" si="494">Q91-R91</f>
        <v>-1.7641220000186308E-4</v>
      </c>
      <c r="T91" s="395">
        <f t="shared" ref="T91" si="495">R91/Q91</f>
        <v>0</v>
      </c>
      <c r="V91" s="127"/>
      <c r="W91" s="127"/>
      <c r="AR91" s="50"/>
      <c r="AY91" s="155"/>
    </row>
    <row r="92" spans="2:69" ht="21.75" customHeight="1" thickBot="1" x14ac:dyDescent="0.3">
      <c r="B92" s="494"/>
      <c r="C92" s="448"/>
      <c r="D92" s="439"/>
      <c r="E92" s="409"/>
      <c r="F92" s="333" t="s">
        <v>14</v>
      </c>
      <c r="G92" s="75">
        <v>6.1819585999999998E-3</v>
      </c>
      <c r="H92" s="70">
        <f t="shared" ref="H92" si="496">$U$31*G92</f>
        <v>8.8525647151999998</v>
      </c>
      <c r="I92" s="307">
        <f>-8.853</f>
        <v>-8.8529999999999998</v>
      </c>
      <c r="J92" s="91">
        <f>H92+I92+L91</f>
        <v>-1.7641220000008673E-4</v>
      </c>
      <c r="K92" s="69"/>
      <c r="L92" s="91">
        <f t="shared" si="5"/>
        <v>-1.7641220000008673E-4</v>
      </c>
      <c r="M92" s="143">
        <f t="shared" si="58"/>
        <v>0</v>
      </c>
      <c r="N92" s="383"/>
      <c r="O92" s="407"/>
      <c r="P92" s="403"/>
      <c r="Q92" s="403"/>
      <c r="R92" s="403"/>
      <c r="S92" s="403"/>
      <c r="T92" s="396"/>
      <c r="V92" s="127"/>
      <c r="W92" s="127"/>
      <c r="AR92" s="50"/>
      <c r="AY92" s="155"/>
    </row>
    <row r="93" spans="2:69" ht="20.100000000000001" customHeight="1" x14ac:dyDescent="0.25">
      <c r="B93" s="494"/>
      <c r="C93" s="448"/>
      <c r="D93" s="443" t="s">
        <v>117</v>
      </c>
      <c r="E93" s="410" t="s">
        <v>239</v>
      </c>
      <c r="F93" s="333" t="s">
        <v>13</v>
      </c>
      <c r="G93" s="73">
        <v>1.3602421E-3</v>
      </c>
      <c r="H93" s="91">
        <f t="shared" ref="H93" si="497">$U$29*G93</f>
        <v>3.3883630711000001</v>
      </c>
      <c r="I93" s="307">
        <f>-3.388</f>
        <v>-3.3879999999999999</v>
      </c>
      <c r="J93" s="91">
        <f>H93+I93</f>
        <v>3.6307110000022291E-4</v>
      </c>
      <c r="K93" s="69"/>
      <c r="L93" s="91">
        <f t="shared" si="5"/>
        <v>3.6307110000022291E-4</v>
      </c>
      <c r="M93" s="143">
        <f t="shared" si="58"/>
        <v>0</v>
      </c>
      <c r="N93" s="260">
        <v>43154</v>
      </c>
      <c r="O93" s="406">
        <f t="shared" ref="O93" si="498">H93+H94</f>
        <v>5.3362297583</v>
      </c>
      <c r="P93" s="405">
        <f t="shared" ref="P93" si="499">I93+I94</f>
        <v>-5.3360000000000003</v>
      </c>
      <c r="Q93" s="402">
        <f t="shared" ref="Q93" si="500">O93+P93</f>
        <v>2.2975829999971609E-4</v>
      </c>
      <c r="R93" s="404">
        <f t="shared" ref="R93" si="501">K93+K94</f>
        <v>0</v>
      </c>
      <c r="S93" s="402">
        <f t="shared" ref="S93" si="502">Q93-R93</f>
        <v>2.2975829999971609E-4</v>
      </c>
      <c r="T93" s="395">
        <f t="shared" ref="T93" si="503">R93/Q93</f>
        <v>0</v>
      </c>
      <c r="V93" s="131"/>
      <c r="W93" s="132"/>
      <c r="AR93" s="50"/>
      <c r="AY93" s="155"/>
    </row>
    <row r="94" spans="2:69" ht="22.5" customHeight="1" thickBot="1" x14ac:dyDescent="0.3">
      <c r="B94" s="494"/>
      <c r="C94" s="448"/>
      <c r="D94" s="444"/>
      <c r="E94" s="411"/>
      <c r="F94" s="333" t="s">
        <v>14</v>
      </c>
      <c r="G94" s="73">
        <v>1.3602421E-3</v>
      </c>
      <c r="H94" s="91">
        <f t="shared" ref="H94" si="504">$U$31*G94</f>
        <v>1.9478666872000001</v>
      </c>
      <c r="I94" s="307">
        <f>-1.948</f>
        <v>-1.948</v>
      </c>
      <c r="J94" s="91">
        <f>H94+I94+L93</f>
        <v>2.2975830000038222E-4</v>
      </c>
      <c r="K94" s="69"/>
      <c r="L94" s="91">
        <f t="shared" si="5"/>
        <v>2.2975830000038222E-4</v>
      </c>
      <c r="M94" s="143">
        <f t="shared" si="58"/>
        <v>0</v>
      </c>
      <c r="N94" s="260">
        <v>43166</v>
      </c>
      <c r="O94" s="407"/>
      <c r="P94" s="403"/>
      <c r="Q94" s="403"/>
      <c r="R94" s="403"/>
      <c r="S94" s="403"/>
      <c r="T94" s="396"/>
      <c r="V94" s="127"/>
      <c r="W94" s="132"/>
      <c r="AR94" s="50"/>
      <c r="AY94" s="155"/>
    </row>
    <row r="95" spans="2:69" ht="24" customHeight="1" x14ac:dyDescent="0.25">
      <c r="B95" s="494"/>
      <c r="C95" s="448"/>
      <c r="D95" s="438" t="s">
        <v>118</v>
      </c>
      <c r="E95" s="408" t="s">
        <v>240</v>
      </c>
      <c r="F95" s="333" t="s">
        <v>13</v>
      </c>
      <c r="G95" s="75">
        <v>5.6303055000000001E-3</v>
      </c>
      <c r="H95" s="70">
        <f t="shared" ref="H95" si="505">$U$29*G95</f>
        <v>14.0250910005</v>
      </c>
      <c r="I95" s="307">
        <f>-14.025</f>
        <v>-14.025</v>
      </c>
      <c r="J95" s="91">
        <f>H95+I95</f>
        <v>9.1000499999438489E-5</v>
      </c>
      <c r="K95" s="69"/>
      <c r="L95" s="91">
        <f t="shared" si="5"/>
        <v>9.1000499999438489E-5</v>
      </c>
      <c r="M95" s="143">
        <f t="shared" si="58"/>
        <v>0</v>
      </c>
      <c r="N95" s="383">
        <v>43166</v>
      </c>
      <c r="O95" s="406">
        <f t="shared" ref="O95" si="506">H95+H96</f>
        <v>22.087688476499999</v>
      </c>
      <c r="P95" s="405">
        <f t="shared" ref="P95" si="507">I95+I96</f>
        <v>-22.088000000000001</v>
      </c>
      <c r="Q95" s="402">
        <f t="shared" ref="Q95" si="508">O95+P95</f>
        <v>-3.1152350000240858E-4</v>
      </c>
      <c r="R95" s="404">
        <f t="shared" ref="R95" si="509">K95+K96</f>
        <v>0</v>
      </c>
      <c r="S95" s="402">
        <f t="shared" ref="S95" si="510">Q95-R95</f>
        <v>-3.1152350000240858E-4</v>
      </c>
      <c r="T95" s="395">
        <f t="shared" ref="T95" si="511">R95/Q95</f>
        <v>0</v>
      </c>
      <c r="V95" s="133"/>
      <c r="W95" s="134"/>
      <c r="AR95" s="50"/>
      <c r="AY95" s="155"/>
      <c r="BH95" s="52"/>
      <c r="BI95" s="52"/>
      <c r="BJ95" s="52"/>
      <c r="BK95" s="52"/>
      <c r="BL95" s="52"/>
      <c r="BM95" s="52"/>
      <c r="BN95" s="52"/>
      <c r="BO95" s="52"/>
      <c r="BP95" s="52"/>
      <c r="BQ95" s="52"/>
    </row>
    <row r="96" spans="2:69" ht="28.5" customHeight="1" thickBot="1" x14ac:dyDescent="0.3">
      <c r="B96" s="494"/>
      <c r="C96" s="448"/>
      <c r="D96" s="439"/>
      <c r="E96" s="409"/>
      <c r="F96" s="333" t="s">
        <v>14</v>
      </c>
      <c r="G96" s="75">
        <v>5.6303055000000001E-3</v>
      </c>
      <c r="H96" s="70">
        <f t="shared" ref="H96" si="512">$U$31*G96</f>
        <v>8.0625974760000005</v>
      </c>
      <c r="I96" s="307">
        <f>-8.063</f>
        <v>-8.0630000000000006</v>
      </c>
      <c r="J96" s="91">
        <f>H96+I96+L95</f>
        <v>-3.1152350000063223E-4</v>
      </c>
      <c r="K96" s="69"/>
      <c r="L96" s="91">
        <f t="shared" si="5"/>
        <v>-3.1152350000063223E-4</v>
      </c>
      <c r="M96" s="143">
        <f t="shared" si="58"/>
        <v>0</v>
      </c>
      <c r="N96" s="383"/>
      <c r="O96" s="407"/>
      <c r="P96" s="403"/>
      <c r="Q96" s="403"/>
      <c r="R96" s="403"/>
      <c r="S96" s="403"/>
      <c r="T96" s="396"/>
      <c r="V96" s="133"/>
      <c r="W96" s="132"/>
      <c r="AR96" s="50"/>
      <c r="AY96" s="155"/>
      <c r="BH96" s="52"/>
      <c r="BI96" s="52"/>
      <c r="BJ96" s="52"/>
      <c r="BK96" s="52"/>
      <c r="BL96" s="52"/>
      <c r="BM96" s="52"/>
      <c r="BN96" s="52"/>
      <c r="BO96" s="52"/>
      <c r="BP96" s="52"/>
      <c r="BQ96" s="52"/>
    </row>
    <row r="97" spans="2:69" ht="20.100000000000001" customHeight="1" x14ac:dyDescent="0.25">
      <c r="B97" s="494"/>
      <c r="C97" s="448"/>
      <c r="D97" s="438" t="s">
        <v>119</v>
      </c>
      <c r="E97" s="408" t="s">
        <v>241</v>
      </c>
      <c r="F97" s="333" t="s">
        <v>13</v>
      </c>
      <c r="G97" s="75">
        <v>1.7838174E-3</v>
      </c>
      <c r="H97" s="91">
        <f t="shared" ref="H97" si="513">$U$29*G97</f>
        <v>4.4434891433999999</v>
      </c>
      <c r="I97" s="312">
        <f>-4.443</f>
        <v>-4.4429999999999996</v>
      </c>
      <c r="J97" s="91">
        <f>H97+I97</f>
        <v>4.8914340000028034E-4</v>
      </c>
      <c r="K97" s="69"/>
      <c r="L97" s="91">
        <f t="shared" si="5"/>
        <v>4.8914340000028034E-4</v>
      </c>
      <c r="M97" s="143">
        <f t="shared" si="58"/>
        <v>0</v>
      </c>
      <c r="N97" s="260">
        <v>43154</v>
      </c>
      <c r="O97" s="406">
        <f t="shared" ref="O97" si="514">H97+H98</f>
        <v>6.9979156602000003</v>
      </c>
      <c r="P97" s="405">
        <f t="shared" ref="P97" si="515">I97+I98</f>
        <v>-6.9969999999999999</v>
      </c>
      <c r="Q97" s="402">
        <f t="shared" ref="Q97" si="516">O97+P97</f>
        <v>9.1566020000044546E-4</v>
      </c>
      <c r="R97" s="404">
        <f t="shared" ref="R97" si="517">K97+K98</f>
        <v>0</v>
      </c>
      <c r="S97" s="402">
        <f t="shared" ref="S97" si="518">Q97-R97</f>
        <v>9.1566020000044546E-4</v>
      </c>
      <c r="T97" s="395">
        <f t="shared" ref="T97" si="519">R97/Q97</f>
        <v>0</v>
      </c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R97" s="50"/>
      <c r="AY97" s="155"/>
      <c r="BG97" s="52"/>
    </row>
    <row r="98" spans="2:69" ht="26.25" customHeight="1" thickBot="1" x14ac:dyDescent="0.3">
      <c r="B98" s="494"/>
      <c r="C98" s="448"/>
      <c r="D98" s="439"/>
      <c r="E98" s="409"/>
      <c r="F98" s="333" t="s">
        <v>14</v>
      </c>
      <c r="G98" s="75">
        <v>1.7838174E-3</v>
      </c>
      <c r="H98" s="91">
        <f t="shared" ref="H98" si="520">$U$31*G98</f>
        <v>2.5544265168</v>
      </c>
      <c r="I98" s="312">
        <f>-2.554</f>
        <v>-2.5539999999999998</v>
      </c>
      <c r="J98" s="91">
        <f>H98+I98+L97</f>
        <v>9.1566020000044546E-4</v>
      </c>
      <c r="K98" s="69"/>
      <c r="L98" s="91">
        <f t="shared" si="5"/>
        <v>9.1566020000044546E-4</v>
      </c>
      <c r="M98" s="143">
        <f t="shared" si="58"/>
        <v>0</v>
      </c>
      <c r="N98" s="260">
        <v>43166</v>
      </c>
      <c r="O98" s="407"/>
      <c r="P98" s="403"/>
      <c r="Q98" s="403"/>
      <c r="R98" s="403"/>
      <c r="S98" s="403"/>
      <c r="T98" s="396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R98" s="50"/>
      <c r="AW98" s="52"/>
      <c r="AY98" s="155"/>
      <c r="BG98" s="52"/>
    </row>
    <row r="99" spans="2:69" s="52" customFormat="1" ht="20.100000000000001" customHeight="1" x14ac:dyDescent="0.25">
      <c r="B99" s="494"/>
      <c r="C99" s="448"/>
      <c r="D99" s="450" t="s">
        <v>120</v>
      </c>
      <c r="E99" s="408" t="s">
        <v>242</v>
      </c>
      <c r="F99" s="333" t="s">
        <v>13</v>
      </c>
      <c r="G99" s="75">
        <v>4.2194629999999997E-3</v>
      </c>
      <c r="H99" s="70">
        <f t="shared" ref="H99" si="521">$U$29*G99</f>
        <v>10.510682333</v>
      </c>
      <c r="I99" s="307">
        <v>-10.510999999999999</v>
      </c>
      <c r="J99" s="91">
        <f>H99+I99</f>
        <v>-3.1766699999913328E-4</v>
      </c>
      <c r="K99" s="69"/>
      <c r="L99" s="91">
        <f t="shared" si="5"/>
        <v>-3.1766699999913328E-4</v>
      </c>
      <c r="M99" s="143">
        <f t="shared" si="58"/>
        <v>0</v>
      </c>
      <c r="N99" s="293" t="s">
        <v>410</v>
      </c>
      <c r="O99" s="406">
        <f t="shared" ref="O99" si="522">H99+H100</f>
        <v>16.552953348999999</v>
      </c>
      <c r="P99" s="405">
        <f t="shared" ref="P99" si="523">I99+I100</f>
        <v>-16.2</v>
      </c>
      <c r="Q99" s="402">
        <f t="shared" ref="Q99" si="524">O99+P99</f>
        <v>0.35295334899999986</v>
      </c>
      <c r="R99" s="404">
        <f t="shared" ref="R99" si="525">K99+K100</f>
        <v>5.6000000000000001E-2</v>
      </c>
      <c r="S99" s="402">
        <f t="shared" ref="S99" si="526">Q99-R99</f>
        <v>0.29695334899999987</v>
      </c>
      <c r="T99" s="395">
        <f t="shared" ref="T99" si="527">R99/Q99</f>
        <v>0.15866119462716877</v>
      </c>
      <c r="Z99" s="50"/>
      <c r="AA99" s="50"/>
      <c r="AB99" s="50"/>
      <c r="AC99" s="50"/>
      <c r="AD99" s="50"/>
      <c r="AE99" s="50"/>
      <c r="AF99" s="50"/>
      <c r="AY99" s="155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</row>
    <row r="100" spans="2:69" s="52" customFormat="1" ht="24.75" customHeight="1" thickBot="1" x14ac:dyDescent="0.3">
      <c r="B100" s="494"/>
      <c r="C100" s="448"/>
      <c r="D100" s="439"/>
      <c r="E100" s="409"/>
      <c r="F100" s="333" t="s">
        <v>14</v>
      </c>
      <c r="G100" s="75">
        <v>4.2194629999999997E-3</v>
      </c>
      <c r="H100" s="70">
        <f t="shared" ref="H100" si="528">$U$31*G100</f>
        <v>6.0422710159999999</v>
      </c>
      <c r="I100" s="307">
        <v>-5.6890000000000001</v>
      </c>
      <c r="J100" s="91">
        <f>H100+I100+L99</f>
        <v>0.35295334900000075</v>
      </c>
      <c r="K100" s="69">
        <v>5.6000000000000001E-2</v>
      </c>
      <c r="L100" s="91">
        <f t="shared" si="5"/>
        <v>0.29695334900000075</v>
      </c>
      <c r="M100" s="143">
        <f t="shared" si="58"/>
        <v>0.15866119462716838</v>
      </c>
      <c r="N100" s="292" t="s">
        <v>410</v>
      </c>
      <c r="O100" s="407"/>
      <c r="P100" s="403"/>
      <c r="Q100" s="403"/>
      <c r="R100" s="403"/>
      <c r="S100" s="403"/>
      <c r="T100" s="396"/>
      <c r="AA100" s="50"/>
      <c r="AB100" s="50"/>
      <c r="AC100" s="50"/>
      <c r="AD100" s="50"/>
      <c r="AE100" s="50"/>
      <c r="AF100" s="50"/>
      <c r="AW100" s="50"/>
      <c r="AY100" s="155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</row>
    <row r="101" spans="2:69" ht="20.100000000000001" customHeight="1" x14ac:dyDescent="0.25">
      <c r="B101" s="494"/>
      <c r="C101" s="448"/>
      <c r="D101" s="443" t="s">
        <v>121</v>
      </c>
      <c r="E101" s="410"/>
      <c r="F101" s="333" t="s">
        <v>13</v>
      </c>
      <c r="G101" s="73">
        <v>1.9694675000000001E-3</v>
      </c>
      <c r="H101" s="91">
        <v>7.7249999999999996</v>
      </c>
      <c r="I101" s="303"/>
      <c r="J101" s="91">
        <f>H101+I101</f>
        <v>7.7249999999999996</v>
      </c>
      <c r="K101" s="69">
        <v>5.444</v>
      </c>
      <c r="L101" s="91">
        <f t="shared" si="5"/>
        <v>2.2809999999999997</v>
      </c>
      <c r="M101" s="143">
        <f t="shared" si="58"/>
        <v>0.70472491909385115</v>
      </c>
      <c r="N101" s="292" t="s">
        <v>410</v>
      </c>
      <c r="O101" s="406">
        <f>H101+H102</f>
        <v>7.726</v>
      </c>
      <c r="P101" s="405">
        <f>I101+I102</f>
        <v>0</v>
      </c>
      <c r="Q101" s="402">
        <f t="shared" ref="Q101" si="529">O101+P101</f>
        <v>7.726</v>
      </c>
      <c r="R101" s="404">
        <f>K101+K102</f>
        <v>7.72</v>
      </c>
      <c r="S101" s="402">
        <f t="shared" ref="S101" si="530">Q101-R101</f>
        <v>6.0000000000002274E-3</v>
      </c>
      <c r="T101" s="395">
        <f>R101/Q101</f>
        <v>0.99922340150142375</v>
      </c>
      <c r="U101" s="52"/>
      <c r="V101" s="52"/>
      <c r="W101" s="52"/>
      <c r="X101" s="52"/>
      <c r="Y101" s="52"/>
      <c r="Z101" s="52"/>
      <c r="AR101" s="50"/>
      <c r="AY101" s="155"/>
    </row>
    <row r="102" spans="2:69" ht="20.100000000000001" customHeight="1" thickBot="1" x14ac:dyDescent="0.3">
      <c r="B102" s="495"/>
      <c r="C102" s="449"/>
      <c r="D102" s="453"/>
      <c r="E102" s="454"/>
      <c r="F102" s="335" t="s">
        <v>14</v>
      </c>
      <c r="G102" s="74">
        <v>1.9694675000000001E-3</v>
      </c>
      <c r="H102" s="94">
        <v>1E-3</v>
      </c>
      <c r="I102" s="78"/>
      <c r="J102" s="94">
        <f>H102+I102+L101</f>
        <v>2.2819999999999996</v>
      </c>
      <c r="K102" s="77">
        <v>2.2759999999999998</v>
      </c>
      <c r="L102" s="94">
        <f>J102-K102</f>
        <v>5.9999999999997833E-3</v>
      </c>
      <c r="M102" s="144">
        <f t="shared" ref="M102" si="531">K102/J102</f>
        <v>0.99737072743207722</v>
      </c>
      <c r="N102" s="295" t="s">
        <v>410</v>
      </c>
      <c r="O102" s="407"/>
      <c r="P102" s="492"/>
      <c r="Q102" s="491"/>
      <c r="R102" s="403"/>
      <c r="S102" s="491"/>
      <c r="T102" s="396"/>
      <c r="V102" s="52"/>
      <c r="W102" s="52"/>
      <c r="X102" s="52"/>
      <c r="Y102" s="52"/>
      <c r="Z102" s="52"/>
      <c r="AR102" s="50"/>
      <c r="AY102" s="155"/>
    </row>
    <row r="103" spans="2:69" ht="20.100000000000001" customHeight="1" thickBot="1" x14ac:dyDescent="0.3">
      <c r="B103" s="136"/>
      <c r="C103" s="336"/>
      <c r="F103" s="137"/>
      <c r="G103" s="128"/>
      <c r="H103" s="125"/>
      <c r="I103" s="125">
        <f>SUM(I37:I102)</f>
        <v>-1037.5700000000002</v>
      </c>
      <c r="J103" s="125"/>
      <c r="K103" s="138"/>
      <c r="L103" s="130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spans="2:69" ht="20.100000000000001" customHeight="1" x14ac:dyDescent="0.25">
      <c r="B104" s="136"/>
      <c r="C104" s="336"/>
      <c r="D104" s="46"/>
      <c r="E104" s="433" t="s">
        <v>30</v>
      </c>
      <c r="F104" s="118" t="s">
        <v>103</v>
      </c>
      <c r="G104" s="104">
        <f t="shared" ref="G104:K105" si="532">H37+H39+H41+H43+H45+H47+H49+H51+H53+H55+H57+H59+H61+H63+H65+H67+H69+H71+H73+H75+H77+H79+H81+H83+H85+H87+H89+H91+H93+H95+H97+H99+H101</f>
        <v>781.74476416589994</v>
      </c>
      <c r="H104" s="104">
        <f t="shared" si="532"/>
        <v>-840.31200000000013</v>
      </c>
      <c r="I104" s="104">
        <f t="shared" si="532"/>
        <v>-58.567235834099982</v>
      </c>
      <c r="J104" s="104">
        <f t="shared" si="532"/>
        <v>47.298999999999999</v>
      </c>
      <c r="K104" s="105">
        <f t="shared" si="532"/>
        <v>-105.86623583409997</v>
      </c>
      <c r="L104" s="130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</row>
    <row r="105" spans="2:69" ht="20.100000000000001" customHeight="1" thickBot="1" x14ac:dyDescent="0.3">
      <c r="B105" s="136"/>
      <c r="C105" s="336"/>
      <c r="E105" s="434"/>
      <c r="F105" s="119" t="s">
        <v>104</v>
      </c>
      <c r="G105" s="106">
        <f t="shared" si="532"/>
        <v>367.52675420079993</v>
      </c>
      <c r="H105" s="106">
        <f t="shared" si="532"/>
        <v>-197.25799999999998</v>
      </c>
      <c r="I105" s="106">
        <f t="shared" si="532"/>
        <v>64.402518366700008</v>
      </c>
      <c r="J105" s="106">
        <f t="shared" si="532"/>
        <v>55.206999999999994</v>
      </c>
      <c r="K105" s="107">
        <f t="shared" si="532"/>
        <v>9.1955183666999982</v>
      </c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  <row r="106" spans="2:69" ht="15.75" thickBot="1" x14ac:dyDescent="0.3">
      <c r="B106" s="136"/>
      <c r="C106" s="336"/>
      <c r="H106" s="125"/>
      <c r="M106" s="139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</row>
    <row r="107" spans="2:69" ht="38.25" thickBot="1" x14ac:dyDescent="0.3">
      <c r="B107" s="332"/>
      <c r="C107" s="331"/>
      <c r="D107" s="208" t="s">
        <v>3</v>
      </c>
      <c r="E107" s="209" t="s">
        <v>34</v>
      </c>
      <c r="F107" s="210" t="s">
        <v>123</v>
      </c>
      <c r="G107" s="211" t="s">
        <v>124</v>
      </c>
      <c r="H107" s="211" t="s">
        <v>125</v>
      </c>
      <c r="I107" s="211" t="s">
        <v>9</v>
      </c>
      <c r="J107" s="211" t="s">
        <v>126</v>
      </c>
      <c r="K107" s="212" t="s">
        <v>9</v>
      </c>
      <c r="L107" s="241" t="s">
        <v>127</v>
      </c>
      <c r="M107" s="60" t="s">
        <v>4</v>
      </c>
      <c r="N107" s="61" t="s">
        <v>5</v>
      </c>
      <c r="O107" s="61" t="s">
        <v>6</v>
      </c>
      <c r="P107" s="61" t="s">
        <v>7</v>
      </c>
      <c r="Q107" s="61" t="s">
        <v>8</v>
      </c>
      <c r="R107" s="64" t="s">
        <v>9</v>
      </c>
      <c r="S107" s="52"/>
      <c r="T107" s="52"/>
      <c r="U107" s="52"/>
      <c r="V107" s="52"/>
      <c r="W107" s="52"/>
      <c r="X107" s="52"/>
      <c r="Y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</row>
    <row r="108" spans="2:69" ht="21" customHeight="1" x14ac:dyDescent="0.25">
      <c r="B108" s="496" t="s">
        <v>128</v>
      </c>
      <c r="C108" s="328" t="s">
        <v>129</v>
      </c>
      <c r="D108" s="65" t="s">
        <v>13</v>
      </c>
      <c r="E108" s="121">
        <v>8.1300813008000003E-3</v>
      </c>
      <c r="F108" s="111">
        <v>991.65599999999995</v>
      </c>
      <c r="G108" s="309">
        <f>-844.229-14.1-73.814-61.386+61.386-16.332</f>
        <v>-948.47500000000002</v>
      </c>
      <c r="H108" s="111">
        <f>F108+G108</f>
        <v>43.180999999999926</v>
      </c>
      <c r="I108" s="57">
        <v>3.7919999999999998</v>
      </c>
      <c r="J108" s="111">
        <f>H108-I108</f>
        <v>39.388999999999925</v>
      </c>
      <c r="K108" s="145">
        <f>I108/H108</f>
        <v>8.7816400731803482E-2</v>
      </c>
      <c r="L108" s="285" t="s">
        <v>410</v>
      </c>
      <c r="M108" s="364">
        <f>F108+F109</f>
        <v>991.66599999999994</v>
      </c>
      <c r="N108" s="366">
        <f>G108+G109</f>
        <v>-970.34100000000001</v>
      </c>
      <c r="O108" s="364">
        <f>M108+N108</f>
        <v>21.324999999999932</v>
      </c>
      <c r="P108" s="367">
        <f>I108+I109</f>
        <v>14.584999999999999</v>
      </c>
      <c r="Q108" s="364">
        <f>O108-P108</f>
        <v>6.7399999999999327</v>
      </c>
      <c r="R108" s="368">
        <f>P108/O108</f>
        <v>0.68393903868698924</v>
      </c>
      <c r="S108" s="52"/>
      <c r="T108" s="52"/>
      <c r="U108" s="52"/>
      <c r="V108" s="52"/>
      <c r="W108" s="52"/>
      <c r="X108" s="52"/>
      <c r="Y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</row>
    <row r="109" spans="2:69" ht="16.5" thickBot="1" x14ac:dyDescent="0.3">
      <c r="B109" s="497"/>
      <c r="C109" s="327"/>
      <c r="D109" s="66" t="s">
        <v>14</v>
      </c>
      <c r="E109" s="122">
        <v>8.1300813008000003E-3</v>
      </c>
      <c r="F109" s="112">
        <v>0.01</v>
      </c>
      <c r="G109" s="2">
        <f>-14.766-4.5-0.6-2</f>
        <v>-21.866</v>
      </c>
      <c r="H109" s="112">
        <f>F109+G109+J108</f>
        <v>17.532999999999927</v>
      </c>
      <c r="I109" s="24">
        <v>10.792999999999999</v>
      </c>
      <c r="J109" s="112">
        <f t="shared" ref="J109:J110" si="533">H109-I109</f>
        <v>6.7399999999999274</v>
      </c>
      <c r="K109" s="326">
        <f>I109/H109</f>
        <v>0.61558204528603455</v>
      </c>
      <c r="L109" s="242" t="s">
        <v>410</v>
      </c>
      <c r="M109" s="365"/>
      <c r="N109" s="365"/>
      <c r="O109" s="365"/>
      <c r="P109" s="365"/>
      <c r="Q109" s="365"/>
      <c r="R109" s="369"/>
      <c r="S109" s="52"/>
      <c r="T109" s="52"/>
      <c r="U109" s="52"/>
      <c r="V109" s="52"/>
      <c r="W109" s="52"/>
      <c r="X109" s="52"/>
      <c r="Y109" s="52"/>
      <c r="BJ109" s="52"/>
    </row>
    <row r="110" spans="2:69" ht="22.5" customHeight="1" x14ac:dyDescent="0.25">
      <c r="B110" s="497"/>
      <c r="C110" s="329" t="s">
        <v>130</v>
      </c>
      <c r="D110" s="66" t="s">
        <v>13</v>
      </c>
      <c r="E110" s="122">
        <v>8.1300813008000003E-3</v>
      </c>
      <c r="F110" s="112">
        <v>793.327</v>
      </c>
      <c r="G110" s="2">
        <f>-580.5-99.867-16.332+16.332-61.386</f>
        <v>-741.75299999999993</v>
      </c>
      <c r="H110" s="112">
        <f>F110+G110</f>
        <v>51.574000000000069</v>
      </c>
      <c r="I110" s="24">
        <v>4.5609999999999999</v>
      </c>
      <c r="J110" s="112">
        <f t="shared" si="533"/>
        <v>47.013000000000069</v>
      </c>
      <c r="K110" s="325">
        <f>I110/H110</f>
        <v>8.843603366037138E-2</v>
      </c>
      <c r="L110" s="286" t="s">
        <v>410</v>
      </c>
      <c r="M110" s="364">
        <f>F110+F111</f>
        <v>793.33399999999995</v>
      </c>
      <c r="N110" s="366">
        <f>G110+G111</f>
        <v>-770.01899999999989</v>
      </c>
      <c r="O110" s="364">
        <f>M110+N110</f>
        <v>23.315000000000055</v>
      </c>
      <c r="P110" s="367">
        <f>I110+I111</f>
        <v>13.584999999999999</v>
      </c>
      <c r="Q110" s="364">
        <f>O110-P110</f>
        <v>9.7300000000000555</v>
      </c>
      <c r="R110" s="368">
        <f>P110/O110</f>
        <v>0.58267209950675392</v>
      </c>
      <c r="S110" s="52"/>
      <c r="T110" s="52"/>
      <c r="U110" s="52"/>
      <c r="V110" s="52"/>
      <c r="W110" s="52"/>
      <c r="X110" s="52"/>
      <c r="Y110" s="52"/>
      <c r="AP110" s="52"/>
      <c r="BI110" s="52"/>
      <c r="BJ110" s="52"/>
    </row>
    <row r="111" spans="2:69" s="52" customFormat="1" ht="16.5" thickBot="1" x14ac:dyDescent="0.3">
      <c r="B111" s="498"/>
      <c r="C111" s="330"/>
      <c r="D111" s="120" t="s">
        <v>14</v>
      </c>
      <c r="E111" s="123">
        <v>8.1300813008000003E-3</v>
      </c>
      <c r="F111" s="113">
        <v>7.0000000000000001E-3</v>
      </c>
      <c r="G111" s="59">
        <f>-14.1-14.166</f>
        <v>-28.265999999999998</v>
      </c>
      <c r="H111" s="113">
        <f>F111+G111+J110</f>
        <v>18.754000000000072</v>
      </c>
      <c r="I111" s="25">
        <v>9.0239999999999991</v>
      </c>
      <c r="J111" s="113">
        <f>H111-I111</f>
        <v>9.7300000000000733</v>
      </c>
      <c r="K111" s="146">
        <f>I111/H111</f>
        <v>0.48117734883224722</v>
      </c>
      <c r="L111" s="243" t="s">
        <v>410</v>
      </c>
      <c r="M111" s="365"/>
      <c r="N111" s="365"/>
      <c r="O111" s="365"/>
      <c r="P111" s="365"/>
      <c r="Q111" s="365"/>
      <c r="R111" s="369"/>
      <c r="S111" s="50"/>
      <c r="T111" s="50"/>
      <c r="U111" s="50"/>
      <c r="V111" s="50"/>
      <c r="W111" s="50"/>
      <c r="X111" s="50"/>
      <c r="Y111" s="50"/>
      <c r="AR111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</row>
    <row r="112" spans="2:69" s="52" customFormat="1" x14ac:dyDescent="0.25">
      <c r="B112" s="50"/>
      <c r="C112" s="50"/>
      <c r="D112" s="50"/>
      <c r="E112" s="50"/>
      <c r="F112" s="129"/>
      <c r="G112" s="129">
        <f>SUM(G108:G111)</f>
        <v>-1740.3600000000001</v>
      </c>
      <c r="H112" s="129"/>
      <c r="I112" s="129"/>
      <c r="J112" s="129"/>
      <c r="K112" s="130"/>
      <c r="L112" s="124"/>
      <c r="M112" s="139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P112" s="50"/>
      <c r="AR112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</row>
    <row r="113" spans="2:11" ht="15" hidden="1" customHeight="1" x14ac:dyDescent="0.25">
      <c r="B113" s="337" t="s">
        <v>1</v>
      </c>
      <c r="C113" s="337" t="s">
        <v>122</v>
      </c>
      <c r="F113" s="50"/>
      <c r="K113" s="198"/>
    </row>
    <row r="114" spans="2:11" x14ac:dyDescent="0.25">
      <c r="B114" s="332"/>
      <c r="C114" s="331"/>
      <c r="F114" s="50"/>
    </row>
    <row r="115" spans="2:11" x14ac:dyDescent="0.25">
      <c r="B115" s="332"/>
      <c r="C115" s="331"/>
      <c r="F115" s="50"/>
    </row>
    <row r="116" spans="2:11" x14ac:dyDescent="0.25">
      <c r="B116" s="332"/>
      <c r="C116" s="331"/>
      <c r="F116" s="50"/>
    </row>
    <row r="117" spans="2:11" x14ac:dyDescent="0.25">
      <c r="B117" s="332"/>
      <c r="C117" s="331"/>
      <c r="F117" s="50"/>
    </row>
    <row r="118" spans="2:11" x14ac:dyDescent="0.25">
      <c r="B118" s="127"/>
      <c r="C118" s="127"/>
      <c r="F118" s="50"/>
    </row>
    <row r="119" spans="2:11" x14ac:dyDescent="0.25">
      <c r="F119" s="50"/>
    </row>
    <row r="120" spans="2:11" x14ac:dyDescent="0.25">
      <c r="F120" s="50"/>
    </row>
    <row r="121" spans="2:11" x14ac:dyDescent="0.25">
      <c r="C121" s="165"/>
      <c r="F121" s="50"/>
    </row>
    <row r="122" spans="2:11" x14ac:dyDescent="0.25">
      <c r="C122" s="10" t="s">
        <v>131</v>
      </c>
      <c r="D122" s="338"/>
      <c r="F122" s="50"/>
    </row>
    <row r="123" spans="2:11" x14ac:dyDescent="0.25">
      <c r="C123" s="10" t="s">
        <v>134</v>
      </c>
      <c r="D123" s="338" t="s">
        <v>132</v>
      </c>
      <c r="F123" s="50"/>
    </row>
    <row r="124" spans="2:11" x14ac:dyDescent="0.25">
      <c r="C124" s="11"/>
      <c r="D124" s="12">
        <f>L32+G103+Z71+AS69+BL69+F112</f>
        <v>6437</v>
      </c>
      <c r="F124" s="50"/>
    </row>
    <row r="125" spans="2:11" x14ac:dyDescent="0.25">
      <c r="D125" s="124"/>
      <c r="F125" s="50"/>
    </row>
    <row r="126" spans="2:11" x14ac:dyDescent="0.25">
      <c r="F126" s="50"/>
    </row>
    <row r="127" spans="2:11" x14ac:dyDescent="0.25">
      <c r="F127" s="50"/>
    </row>
    <row r="128" spans="2:11" x14ac:dyDescent="0.25">
      <c r="F128" s="50"/>
    </row>
    <row r="129" spans="3:6" x14ac:dyDescent="0.25">
      <c r="C129" s="165"/>
      <c r="F129" s="50"/>
    </row>
    <row r="130" spans="3:6" x14ac:dyDescent="0.25">
      <c r="C130" s="165"/>
      <c r="F130" s="50"/>
    </row>
    <row r="131" spans="3:6" x14ac:dyDescent="0.25">
      <c r="C131" s="331"/>
    </row>
  </sheetData>
  <mergeCells count="804">
    <mergeCell ref="T101:T102"/>
    <mergeCell ref="S101:S102"/>
    <mergeCell ref="R101:R102"/>
    <mergeCell ref="Q101:Q102"/>
    <mergeCell ref="P101:P102"/>
    <mergeCell ref="B37:B102"/>
    <mergeCell ref="B108:B111"/>
    <mergeCell ref="B5:B6"/>
    <mergeCell ref="K5:K6"/>
    <mergeCell ref="J5:J6"/>
    <mergeCell ref="I5:I6"/>
    <mergeCell ref="H5:H6"/>
    <mergeCell ref="G5:G6"/>
    <mergeCell ref="F5:F6"/>
    <mergeCell ref="E5:E6"/>
    <mergeCell ref="D5:D6"/>
    <mergeCell ref="C5:C6"/>
    <mergeCell ref="Q13:Q14"/>
    <mergeCell ref="C15:C16"/>
    <mergeCell ref="L15:L16"/>
    <mergeCell ref="M15:M16"/>
    <mergeCell ref="N15:N16"/>
    <mergeCell ref="O15:O16"/>
    <mergeCell ref="P15:P16"/>
    <mergeCell ref="B2:R2"/>
    <mergeCell ref="L5:Q5"/>
    <mergeCell ref="B7:B30"/>
    <mergeCell ref="C7:C8"/>
    <mergeCell ref="L7:L8"/>
    <mergeCell ref="M7:M8"/>
    <mergeCell ref="N7:N8"/>
    <mergeCell ref="O7:O8"/>
    <mergeCell ref="P7:P8"/>
    <mergeCell ref="Q7:Q8"/>
    <mergeCell ref="Q9:Q10"/>
    <mergeCell ref="C11:C12"/>
    <mergeCell ref="L11:L12"/>
    <mergeCell ref="M11:M12"/>
    <mergeCell ref="N11:N12"/>
    <mergeCell ref="O11:O12"/>
    <mergeCell ref="P11:P12"/>
    <mergeCell ref="Q11:Q12"/>
    <mergeCell ref="C9:C10"/>
    <mergeCell ref="L9:L10"/>
    <mergeCell ref="M9:M10"/>
    <mergeCell ref="N9:N10"/>
    <mergeCell ref="O9:O10"/>
    <mergeCell ref="P9:P10"/>
    <mergeCell ref="Q15:Q16"/>
    <mergeCell ref="C13:C14"/>
    <mergeCell ref="L13:L14"/>
    <mergeCell ref="M13:M14"/>
    <mergeCell ref="N13:N14"/>
    <mergeCell ref="O13:O14"/>
    <mergeCell ref="P13:P14"/>
    <mergeCell ref="Q17:Q18"/>
    <mergeCell ref="C19:C20"/>
    <mergeCell ref="L19:L20"/>
    <mergeCell ref="M19:M20"/>
    <mergeCell ref="N19:N20"/>
    <mergeCell ref="O19:O20"/>
    <mergeCell ref="P19:P20"/>
    <mergeCell ref="Q19:Q20"/>
    <mergeCell ref="C17:C18"/>
    <mergeCell ref="L17:L18"/>
    <mergeCell ref="M17:M18"/>
    <mergeCell ref="N17:N18"/>
    <mergeCell ref="O17:O18"/>
    <mergeCell ref="P17:P18"/>
    <mergeCell ref="AG41:AG42"/>
    <mergeCell ref="X37:X38"/>
    <mergeCell ref="X39:X40"/>
    <mergeCell ref="X41:X42"/>
    <mergeCell ref="E37:E38"/>
    <mergeCell ref="AK37:AK38"/>
    <mergeCell ref="AK39:AK40"/>
    <mergeCell ref="Q21:Q22"/>
    <mergeCell ref="C23:C24"/>
    <mergeCell ref="L23:L24"/>
    <mergeCell ref="M23:M24"/>
    <mergeCell ref="N23:N24"/>
    <mergeCell ref="O23:O24"/>
    <mergeCell ref="P23:P24"/>
    <mergeCell ref="Q23:Q24"/>
    <mergeCell ref="C21:C22"/>
    <mergeCell ref="L21:L22"/>
    <mergeCell ref="M21:M22"/>
    <mergeCell ref="N21:N22"/>
    <mergeCell ref="O21:O22"/>
    <mergeCell ref="P21:P22"/>
    <mergeCell ref="Q25:Q26"/>
    <mergeCell ref="C27:C28"/>
    <mergeCell ref="L27:L28"/>
    <mergeCell ref="O27:O28"/>
    <mergeCell ref="P27:P28"/>
    <mergeCell ref="Q27:Q28"/>
    <mergeCell ref="C25:C26"/>
    <mergeCell ref="L25:L26"/>
    <mergeCell ref="M25:M26"/>
    <mergeCell ref="N25:N26"/>
    <mergeCell ref="O25:O26"/>
    <mergeCell ref="P25:P26"/>
    <mergeCell ref="E39:E40"/>
    <mergeCell ref="E41:E42"/>
    <mergeCell ref="D39:D40"/>
    <mergeCell ref="N39:N40"/>
    <mergeCell ref="E43:E44"/>
    <mergeCell ref="E45:E46"/>
    <mergeCell ref="E47:E48"/>
    <mergeCell ref="D45:D46"/>
    <mergeCell ref="M27:M28"/>
    <mergeCell ref="N27:N28"/>
    <mergeCell ref="Q29:Q30"/>
    <mergeCell ref="C32:C33"/>
    <mergeCell ref="L32:L33"/>
    <mergeCell ref="M32:M33"/>
    <mergeCell ref="N32:N33"/>
    <mergeCell ref="O32:O33"/>
    <mergeCell ref="P32:P33"/>
    <mergeCell ref="Q32:Q33"/>
    <mergeCell ref="C29:C30"/>
    <mergeCell ref="L29:L30"/>
    <mergeCell ref="M29:M30"/>
    <mergeCell ref="N29:N30"/>
    <mergeCell ref="O29:O30"/>
    <mergeCell ref="P29:P30"/>
    <mergeCell ref="BJ65:BJ66"/>
    <mergeCell ref="W63:W64"/>
    <mergeCell ref="AP65:AP66"/>
    <mergeCell ref="X61:X62"/>
    <mergeCell ref="X63:X64"/>
    <mergeCell ref="X65:X66"/>
    <mergeCell ref="X67:X68"/>
    <mergeCell ref="BJ63:BJ64"/>
    <mergeCell ref="BA67:BA68"/>
    <mergeCell ref="BB67:BB68"/>
    <mergeCell ref="BC67:BC68"/>
    <mergeCell ref="BD67:BD68"/>
    <mergeCell ref="AH67:AH68"/>
    <mergeCell ref="BC65:BC66"/>
    <mergeCell ref="BI37:BI68"/>
    <mergeCell ref="BJ59:BJ60"/>
    <mergeCell ref="BJ51:BJ52"/>
    <mergeCell ref="W57:W58"/>
    <mergeCell ref="AP47:AP48"/>
    <mergeCell ref="BJ47:BJ48"/>
    <mergeCell ref="W53:W54"/>
    <mergeCell ref="AP53:AP54"/>
    <mergeCell ref="BA43:BA44"/>
    <mergeCell ref="BA45:BA46"/>
    <mergeCell ref="BF43:BF44"/>
    <mergeCell ref="BF45:BF46"/>
    <mergeCell ref="W55:W56"/>
    <mergeCell ref="AG55:AG56"/>
    <mergeCell ref="AP55:AP56"/>
    <mergeCell ref="AJ57:AJ58"/>
    <mergeCell ref="AL57:AL58"/>
    <mergeCell ref="AG57:AG58"/>
    <mergeCell ref="AI57:AI58"/>
    <mergeCell ref="AK55:AK56"/>
    <mergeCell ref="AK57:AK58"/>
    <mergeCell ref="AP57:AP58"/>
    <mergeCell ref="BA47:BA48"/>
    <mergeCell ref="BB43:BB44"/>
    <mergeCell ref="BB45:BB46"/>
    <mergeCell ref="BB47:BB48"/>
    <mergeCell ref="X57:X58"/>
    <mergeCell ref="W51:W52"/>
    <mergeCell ref="AP51:AP52"/>
    <mergeCell ref="AH55:AH56"/>
    <mergeCell ref="AH57:AH58"/>
    <mergeCell ref="AG47:AG48"/>
    <mergeCell ref="W47:W48"/>
    <mergeCell ref="AJ55:AJ56"/>
    <mergeCell ref="E104:E105"/>
    <mergeCell ref="D91:D92"/>
    <mergeCell ref="N91:N92"/>
    <mergeCell ref="D93:D94"/>
    <mergeCell ref="D95:D96"/>
    <mergeCell ref="N95:N96"/>
    <mergeCell ref="D97:D98"/>
    <mergeCell ref="D63:D64"/>
    <mergeCell ref="D49:D50"/>
    <mergeCell ref="D51:D52"/>
    <mergeCell ref="D101:D102"/>
    <mergeCell ref="D83:D84"/>
    <mergeCell ref="D61:D62"/>
    <mergeCell ref="N75:N76"/>
    <mergeCell ref="E91:E92"/>
    <mergeCell ref="E101:E102"/>
    <mergeCell ref="E79:E80"/>
    <mergeCell ref="E81:E82"/>
    <mergeCell ref="E83:E84"/>
    <mergeCell ref="E85:E86"/>
    <mergeCell ref="E87:E88"/>
    <mergeCell ref="E93:E94"/>
    <mergeCell ref="E95:E96"/>
    <mergeCell ref="E97:E98"/>
    <mergeCell ref="C37:C102"/>
    <mergeCell ref="D43:D44"/>
    <mergeCell ref="D59:D60"/>
    <mergeCell ref="D65:D66"/>
    <mergeCell ref="D37:D38"/>
    <mergeCell ref="D57:D58"/>
    <mergeCell ref="D87:D88"/>
    <mergeCell ref="D89:D90"/>
    <mergeCell ref="D75:D76"/>
    <mergeCell ref="D77:D78"/>
    <mergeCell ref="D79:D80"/>
    <mergeCell ref="D81:D82"/>
    <mergeCell ref="D67:D68"/>
    <mergeCell ref="D99:D100"/>
    <mergeCell ref="D71:D72"/>
    <mergeCell ref="D69:D70"/>
    <mergeCell ref="D85:D86"/>
    <mergeCell ref="D55:D56"/>
    <mergeCell ref="D53:D54"/>
    <mergeCell ref="BI71:BI72"/>
    <mergeCell ref="D73:D74"/>
    <mergeCell ref="X73:X74"/>
    <mergeCell ref="B3:R3"/>
    <mergeCell ref="AP59:AP60"/>
    <mergeCell ref="W49:W50"/>
    <mergeCell ref="AP49:AP50"/>
    <mergeCell ref="W45:W46"/>
    <mergeCell ref="AP45:AP46"/>
    <mergeCell ref="W43:W44"/>
    <mergeCell ref="X53:X54"/>
    <mergeCell ref="X55:X56"/>
    <mergeCell ref="O37:O38"/>
    <mergeCell ref="O39:O40"/>
    <mergeCell ref="O41:O42"/>
    <mergeCell ref="O43:O44"/>
    <mergeCell ref="O45:O46"/>
    <mergeCell ref="O47:O48"/>
    <mergeCell ref="N43:N44"/>
    <mergeCell ref="D47:D48"/>
    <mergeCell ref="D41:D42"/>
    <mergeCell ref="BE67:BE68"/>
    <mergeCell ref="BF65:BF66"/>
    <mergeCell ref="BF67:BF68"/>
    <mergeCell ref="AP71:AP72"/>
    <mergeCell ref="W59:W60"/>
    <mergeCell ref="AG59:AG60"/>
    <mergeCell ref="AP61:AP62"/>
    <mergeCell ref="E99:E100"/>
    <mergeCell ref="O91:O92"/>
    <mergeCell ref="O85:O86"/>
    <mergeCell ref="O93:O94"/>
    <mergeCell ref="O95:O96"/>
    <mergeCell ref="O97:O98"/>
    <mergeCell ref="O99:O100"/>
    <mergeCell ref="P83:P84"/>
    <mergeCell ref="P85:P86"/>
    <mergeCell ref="P87:P88"/>
    <mergeCell ref="P89:P90"/>
    <mergeCell ref="P91:P92"/>
    <mergeCell ref="P93:P94"/>
    <mergeCell ref="P95:P96"/>
    <mergeCell ref="P97:P98"/>
    <mergeCell ref="E71:E72"/>
    <mergeCell ref="E73:E74"/>
    <mergeCell ref="E75:E76"/>
    <mergeCell ref="E77:E78"/>
    <mergeCell ref="E89:E90"/>
    <mergeCell ref="AI55:AI56"/>
    <mergeCell ref="BJ67:BJ68"/>
    <mergeCell ref="AP63:AP64"/>
    <mergeCell ref="BJ61:BJ62"/>
    <mergeCell ref="AH59:AH60"/>
    <mergeCell ref="AH61:AH62"/>
    <mergeCell ref="AH63:AH64"/>
    <mergeCell ref="AH65:AH66"/>
    <mergeCell ref="AI59:AI60"/>
    <mergeCell ref="AI61:AI62"/>
    <mergeCell ref="AI63:AI64"/>
    <mergeCell ref="AI65:AI66"/>
    <mergeCell ref="AI67:AI68"/>
    <mergeCell ref="AK59:AK60"/>
    <mergeCell ref="AK61:AK62"/>
    <mergeCell ref="AK63:AK64"/>
    <mergeCell ref="AK65:AK66"/>
    <mergeCell ref="AK67:AK68"/>
    <mergeCell ref="BA63:BA64"/>
    <mergeCell ref="BA65:BA66"/>
    <mergeCell ref="BB63:BB64"/>
    <mergeCell ref="BB65:BB66"/>
    <mergeCell ref="BC63:BC64"/>
    <mergeCell ref="AP67:AP68"/>
    <mergeCell ref="BJ45:BJ46"/>
    <mergeCell ref="BJ39:BJ40"/>
    <mergeCell ref="AO37:AO68"/>
    <mergeCell ref="AP37:AP38"/>
    <mergeCell ref="BJ37:BJ38"/>
    <mergeCell ref="AP43:AP44"/>
    <mergeCell ref="BJ43:BJ44"/>
    <mergeCell ref="AL55:AL56"/>
    <mergeCell ref="BJ53:BJ54"/>
    <mergeCell ref="BD43:BD44"/>
    <mergeCell ref="BD45:BD46"/>
    <mergeCell ref="BD47:BD48"/>
    <mergeCell ref="BF47:BF48"/>
    <mergeCell ref="BC43:BC44"/>
    <mergeCell ref="BC45:BC46"/>
    <mergeCell ref="BC47:BC48"/>
    <mergeCell ref="BA37:BA38"/>
    <mergeCell ref="BB37:BB38"/>
    <mergeCell ref="BC37:BC38"/>
    <mergeCell ref="BD37:BD38"/>
    <mergeCell ref="BE37:BE38"/>
    <mergeCell ref="BF37:BF38"/>
    <mergeCell ref="BG37:BG38"/>
    <mergeCell ref="BA39:BA40"/>
    <mergeCell ref="BK65:BK66"/>
    <mergeCell ref="BK67:BK68"/>
    <mergeCell ref="AQ37:AQ38"/>
    <mergeCell ref="AQ39:AQ40"/>
    <mergeCell ref="AQ41:AQ42"/>
    <mergeCell ref="AQ43:AQ44"/>
    <mergeCell ref="AQ45:AQ46"/>
    <mergeCell ref="AQ47:AQ48"/>
    <mergeCell ref="AQ49:AQ50"/>
    <mergeCell ref="AQ51:AQ52"/>
    <mergeCell ref="AQ53:AQ54"/>
    <mergeCell ref="AQ55:AQ56"/>
    <mergeCell ref="AQ57:AQ58"/>
    <mergeCell ref="AQ59:AQ60"/>
    <mergeCell ref="AQ61:AQ62"/>
    <mergeCell ref="AQ63:AQ64"/>
    <mergeCell ref="AQ65:AQ66"/>
    <mergeCell ref="AQ67:AQ68"/>
    <mergeCell ref="BK37:BK38"/>
    <mergeCell ref="BK39:BK40"/>
    <mergeCell ref="BK41:BK42"/>
    <mergeCell ref="BK43:BK44"/>
    <mergeCell ref="BK45:BK46"/>
    <mergeCell ref="BK47:BK48"/>
    <mergeCell ref="E65:E66"/>
    <mergeCell ref="E67:E68"/>
    <mergeCell ref="E69:E70"/>
    <mergeCell ref="O65:O66"/>
    <mergeCell ref="O67:O68"/>
    <mergeCell ref="O69:O70"/>
    <mergeCell ref="O87:O88"/>
    <mergeCell ref="O89:O90"/>
    <mergeCell ref="O71:O72"/>
    <mergeCell ref="O73:O74"/>
    <mergeCell ref="O75:O76"/>
    <mergeCell ref="O77:O78"/>
    <mergeCell ref="O79:O80"/>
    <mergeCell ref="O81:O82"/>
    <mergeCell ref="O83:O84"/>
    <mergeCell ref="N65:N66"/>
    <mergeCell ref="N67:N68"/>
    <mergeCell ref="N85:N86"/>
    <mergeCell ref="O59:O60"/>
    <mergeCell ref="O61:O62"/>
    <mergeCell ref="O63:O64"/>
    <mergeCell ref="O49:O50"/>
    <mergeCell ref="O51:O52"/>
    <mergeCell ref="N41:N42"/>
    <mergeCell ref="N47:N48"/>
    <mergeCell ref="N51:N52"/>
    <mergeCell ref="E49:E50"/>
    <mergeCell ref="E51:E52"/>
    <mergeCell ref="E53:E54"/>
    <mergeCell ref="E55:E56"/>
    <mergeCell ref="E57:E58"/>
    <mergeCell ref="E59:E60"/>
    <mergeCell ref="E61:E62"/>
    <mergeCell ref="E63:E64"/>
    <mergeCell ref="N57:N58"/>
    <mergeCell ref="O53:O54"/>
    <mergeCell ref="O55:O56"/>
    <mergeCell ref="O57:O58"/>
    <mergeCell ref="F57:F58"/>
    <mergeCell ref="O101:O102"/>
    <mergeCell ref="P37:P38"/>
    <mergeCell ref="P39:P40"/>
    <mergeCell ref="P41:P42"/>
    <mergeCell ref="P43:P44"/>
    <mergeCell ref="P45:P46"/>
    <mergeCell ref="P47:P48"/>
    <mergeCell ref="P49:P50"/>
    <mergeCell ref="P51:P52"/>
    <mergeCell ref="P53:P54"/>
    <mergeCell ref="P55:P56"/>
    <mergeCell ref="P57:P58"/>
    <mergeCell ref="P59:P60"/>
    <mergeCell ref="P61:P62"/>
    <mergeCell ref="P63:P64"/>
    <mergeCell ref="P65:P66"/>
    <mergeCell ref="P67:P68"/>
    <mergeCell ref="P69:P70"/>
    <mergeCell ref="P71:P72"/>
    <mergeCell ref="P73:P74"/>
    <mergeCell ref="P75:P76"/>
    <mergeCell ref="P77:P78"/>
    <mergeCell ref="P79:P80"/>
    <mergeCell ref="P81:P82"/>
    <mergeCell ref="P99:P100"/>
    <mergeCell ref="Q37:Q38"/>
    <mergeCell ref="Q39:Q40"/>
    <mergeCell ref="Q41:Q42"/>
    <mergeCell ref="Q43:Q44"/>
    <mergeCell ref="Q45:Q46"/>
    <mergeCell ref="Q47:Q48"/>
    <mergeCell ref="Q49:Q50"/>
    <mergeCell ref="Q51:Q52"/>
    <mergeCell ref="Q53:Q54"/>
    <mergeCell ref="Q55:Q56"/>
    <mergeCell ref="Q57:Q58"/>
    <mergeCell ref="Q59:Q60"/>
    <mergeCell ref="Q61:Q62"/>
    <mergeCell ref="Q63:Q64"/>
    <mergeCell ref="Q65:Q66"/>
    <mergeCell ref="Q67:Q68"/>
    <mergeCell ref="Q69:Q70"/>
    <mergeCell ref="Q71:Q72"/>
    <mergeCell ref="Q73:Q74"/>
    <mergeCell ref="Q75:Q76"/>
    <mergeCell ref="Q77:Q78"/>
    <mergeCell ref="Q79:Q80"/>
    <mergeCell ref="Q81:Q82"/>
    <mergeCell ref="Q83:Q84"/>
    <mergeCell ref="Q85:Q86"/>
    <mergeCell ref="Q87:Q88"/>
    <mergeCell ref="Q89:Q90"/>
    <mergeCell ref="Q91:Q92"/>
    <mergeCell ref="Q93:Q94"/>
    <mergeCell ref="Q95:Q96"/>
    <mergeCell ref="Q97:Q98"/>
    <mergeCell ref="Q99:Q100"/>
    <mergeCell ref="R37:R38"/>
    <mergeCell ref="R39:R40"/>
    <mergeCell ref="R41:R42"/>
    <mergeCell ref="R43:R44"/>
    <mergeCell ref="R45:R46"/>
    <mergeCell ref="R47:R48"/>
    <mergeCell ref="R49:R50"/>
    <mergeCell ref="R51:R52"/>
    <mergeCell ref="R53:R54"/>
    <mergeCell ref="R55:R56"/>
    <mergeCell ref="R57:R58"/>
    <mergeCell ref="R59:R60"/>
    <mergeCell ref="R61:R62"/>
    <mergeCell ref="R63:R64"/>
    <mergeCell ref="R65:R66"/>
    <mergeCell ref="R67:R68"/>
    <mergeCell ref="R69:R70"/>
    <mergeCell ref="R71:R72"/>
    <mergeCell ref="R73:R74"/>
    <mergeCell ref="R75:R76"/>
    <mergeCell ref="R77:R78"/>
    <mergeCell ref="R79:R80"/>
    <mergeCell ref="R81:R82"/>
    <mergeCell ref="R83:R84"/>
    <mergeCell ref="R85:R86"/>
    <mergeCell ref="R87:R88"/>
    <mergeCell ref="R89:R90"/>
    <mergeCell ref="R91:R92"/>
    <mergeCell ref="R93:R94"/>
    <mergeCell ref="R95:R96"/>
    <mergeCell ref="R97:R98"/>
    <mergeCell ref="R99:R100"/>
    <mergeCell ref="S37:S38"/>
    <mergeCell ref="S39:S40"/>
    <mergeCell ref="S41:S42"/>
    <mergeCell ref="S43:S44"/>
    <mergeCell ref="S45:S46"/>
    <mergeCell ref="S47:S48"/>
    <mergeCell ref="S49:S50"/>
    <mergeCell ref="S51:S52"/>
    <mergeCell ref="S53:S54"/>
    <mergeCell ref="S55:S56"/>
    <mergeCell ref="S57:S58"/>
    <mergeCell ref="S59:S60"/>
    <mergeCell ref="S61:S62"/>
    <mergeCell ref="S63:S64"/>
    <mergeCell ref="S65:S66"/>
    <mergeCell ref="S67:S68"/>
    <mergeCell ref="S69:S70"/>
    <mergeCell ref="S71:S72"/>
    <mergeCell ref="S73:S74"/>
    <mergeCell ref="S75:S76"/>
    <mergeCell ref="S77:S78"/>
    <mergeCell ref="S79:S80"/>
    <mergeCell ref="T97:T98"/>
    <mergeCell ref="T99:T100"/>
    <mergeCell ref="S81:S82"/>
    <mergeCell ref="S83:S84"/>
    <mergeCell ref="S85:S86"/>
    <mergeCell ref="S87:S88"/>
    <mergeCell ref="S89:S90"/>
    <mergeCell ref="S91:S92"/>
    <mergeCell ref="S93:S94"/>
    <mergeCell ref="S95:S96"/>
    <mergeCell ref="S97:S98"/>
    <mergeCell ref="T81:T82"/>
    <mergeCell ref="T83:T84"/>
    <mergeCell ref="T85:T86"/>
    <mergeCell ref="T87:T88"/>
    <mergeCell ref="S99:S100"/>
    <mergeCell ref="T89:T90"/>
    <mergeCell ref="T95:T96"/>
    <mergeCell ref="W65:W66"/>
    <mergeCell ref="X49:X50"/>
    <mergeCell ref="X51:X52"/>
    <mergeCell ref="T37:T38"/>
    <mergeCell ref="T39:T40"/>
    <mergeCell ref="T41:T42"/>
    <mergeCell ref="T43:T44"/>
    <mergeCell ref="T45:T46"/>
    <mergeCell ref="T47:T48"/>
    <mergeCell ref="T49:T50"/>
    <mergeCell ref="T51:T52"/>
    <mergeCell ref="X43:X44"/>
    <mergeCell ref="X45:X46"/>
    <mergeCell ref="X47:X48"/>
    <mergeCell ref="W39:W40"/>
    <mergeCell ref="W37:W38"/>
    <mergeCell ref="V37:V70"/>
    <mergeCell ref="X59:X60"/>
    <mergeCell ref="W41:W42"/>
    <mergeCell ref="W69:W70"/>
    <mergeCell ref="AH47:AH48"/>
    <mergeCell ref="AH49:AH50"/>
    <mergeCell ref="AH51:AH52"/>
    <mergeCell ref="AH53:AH54"/>
    <mergeCell ref="T93:T94"/>
    <mergeCell ref="X69:X70"/>
    <mergeCell ref="W61:W62"/>
    <mergeCell ref="W67:W68"/>
    <mergeCell ref="T71:T72"/>
    <mergeCell ref="T73:T74"/>
    <mergeCell ref="T75:T76"/>
    <mergeCell ref="T77:T78"/>
    <mergeCell ref="T79:T80"/>
    <mergeCell ref="T55:T56"/>
    <mergeCell ref="T57:T58"/>
    <mergeCell ref="T59:T60"/>
    <mergeCell ref="T61:T62"/>
    <mergeCell ref="T63:T64"/>
    <mergeCell ref="T65:T66"/>
    <mergeCell ref="T67:T68"/>
    <mergeCell ref="T69:T70"/>
    <mergeCell ref="T91:T92"/>
    <mergeCell ref="T53:T54"/>
    <mergeCell ref="AG53:AG54"/>
    <mergeCell ref="AK69:AK70"/>
    <mergeCell ref="AJ37:AJ38"/>
    <mergeCell ref="AJ39:AJ40"/>
    <mergeCell ref="AI69:AI70"/>
    <mergeCell ref="AH37:AH38"/>
    <mergeCell ref="AJ61:AJ62"/>
    <mergeCell ref="AJ63:AJ64"/>
    <mergeCell ref="AJ65:AJ66"/>
    <mergeCell ref="AJ67:AJ68"/>
    <mergeCell ref="AJ69:AJ70"/>
    <mergeCell ref="AI37:AI38"/>
    <mergeCell ref="AI39:AI40"/>
    <mergeCell ref="AI41:AI42"/>
    <mergeCell ref="AI43:AI44"/>
    <mergeCell ref="AI45:AI46"/>
    <mergeCell ref="AI47:AI48"/>
    <mergeCell ref="AI49:AI50"/>
    <mergeCell ref="AI51:AI52"/>
    <mergeCell ref="AI53:AI54"/>
    <mergeCell ref="AH39:AH40"/>
    <mergeCell ref="AH41:AH42"/>
    <mergeCell ref="AH43:AH44"/>
    <mergeCell ref="AH69:AH70"/>
    <mergeCell ref="AH45:AH46"/>
    <mergeCell ref="AJ59:AJ60"/>
    <mergeCell ref="AJ41:AJ42"/>
    <mergeCell ref="AJ43:AJ44"/>
    <mergeCell ref="AJ45:AJ46"/>
    <mergeCell ref="AJ47:AJ48"/>
    <mergeCell ref="AJ49:AJ50"/>
    <mergeCell ref="AJ51:AJ52"/>
    <mergeCell ref="AJ53:AJ54"/>
    <mergeCell ref="AL59:AL60"/>
    <mergeCell ref="AK41:AK42"/>
    <mergeCell ref="AK43:AK44"/>
    <mergeCell ref="AK45:AK46"/>
    <mergeCell ref="AK47:AK48"/>
    <mergeCell ref="AK49:AK50"/>
    <mergeCell ref="AK51:AK52"/>
    <mergeCell ref="AK53:AK54"/>
    <mergeCell ref="AL63:AL64"/>
    <mergeCell ref="AL65:AL66"/>
    <mergeCell ref="AL67:AL68"/>
    <mergeCell ref="AL69:AL70"/>
    <mergeCell ref="AM37:AM38"/>
    <mergeCell ref="AM39:AM40"/>
    <mergeCell ref="AM41:AM42"/>
    <mergeCell ref="AM43:AM44"/>
    <mergeCell ref="AM45:AM46"/>
    <mergeCell ref="AM47:AM48"/>
    <mergeCell ref="AM49:AM50"/>
    <mergeCell ref="AM51:AM52"/>
    <mergeCell ref="AM53:AM54"/>
    <mergeCell ref="AM55:AM56"/>
    <mergeCell ref="AM57:AM58"/>
    <mergeCell ref="AM59:AM60"/>
    <mergeCell ref="AM61:AM62"/>
    <mergeCell ref="AM63:AM64"/>
    <mergeCell ref="AM65:AM66"/>
    <mergeCell ref="AM67:AM68"/>
    <mergeCell ref="AM69:AM70"/>
    <mergeCell ref="AL37:AL38"/>
    <mergeCell ref="AL39:AL40"/>
    <mergeCell ref="AL41:AL42"/>
    <mergeCell ref="BB39:BB40"/>
    <mergeCell ref="BB41:BB42"/>
    <mergeCell ref="BC39:BC40"/>
    <mergeCell ref="BC41:BC42"/>
    <mergeCell ref="BD39:BD40"/>
    <mergeCell ref="BD41:BD42"/>
    <mergeCell ref="BE39:BE40"/>
    <mergeCell ref="BE41:BE42"/>
    <mergeCell ref="AL61:AL62"/>
    <mergeCell ref="AL43:AL44"/>
    <mergeCell ref="AL45:AL46"/>
    <mergeCell ref="AL47:AL48"/>
    <mergeCell ref="AL49:AL50"/>
    <mergeCell ref="AL51:AL52"/>
    <mergeCell ref="AL53:AL54"/>
    <mergeCell ref="BE43:BE44"/>
    <mergeCell ref="BE45:BE46"/>
    <mergeCell ref="BE47:BE48"/>
    <mergeCell ref="AP39:AP40"/>
    <mergeCell ref="AP41:AP42"/>
    <mergeCell ref="BD51:BD52"/>
    <mergeCell ref="BD53:BD54"/>
    <mergeCell ref="BD55:BD56"/>
    <mergeCell ref="BD57:BD58"/>
    <mergeCell ref="BF41:BF42"/>
    <mergeCell ref="BA49:BA50"/>
    <mergeCell ref="BA51:BA52"/>
    <mergeCell ref="BA53:BA54"/>
    <mergeCell ref="BA55:BA56"/>
    <mergeCell ref="BA57:BA58"/>
    <mergeCell ref="BA59:BA60"/>
    <mergeCell ref="BA61:BA62"/>
    <mergeCell ref="BB49:BB50"/>
    <mergeCell ref="BB51:BB52"/>
    <mergeCell ref="BB53:BB54"/>
    <mergeCell ref="BB55:BB56"/>
    <mergeCell ref="BB57:BB58"/>
    <mergeCell ref="BB59:BB60"/>
    <mergeCell ref="BB61:BB62"/>
    <mergeCell ref="BC49:BC50"/>
    <mergeCell ref="BC51:BC52"/>
    <mergeCell ref="BC53:BC54"/>
    <mergeCell ref="BC55:BC56"/>
    <mergeCell ref="BC57:BC58"/>
    <mergeCell ref="BC59:BC60"/>
    <mergeCell ref="BC61:BC62"/>
    <mergeCell ref="BD49:BD50"/>
    <mergeCell ref="BA41:BA42"/>
    <mergeCell ref="BD59:BD60"/>
    <mergeCell ref="BD61:BD62"/>
    <mergeCell ref="BD63:BD64"/>
    <mergeCell ref="BD65:BD66"/>
    <mergeCell ref="BE49:BE50"/>
    <mergeCell ref="BE51:BE52"/>
    <mergeCell ref="BE53:BE54"/>
    <mergeCell ref="BE55:BE56"/>
    <mergeCell ref="BE57:BE58"/>
    <mergeCell ref="BE59:BE60"/>
    <mergeCell ref="BE61:BE62"/>
    <mergeCell ref="BE63:BE64"/>
    <mergeCell ref="BE65:BE66"/>
    <mergeCell ref="BF49:BF50"/>
    <mergeCell ref="BF51:BF52"/>
    <mergeCell ref="BF53:BF54"/>
    <mergeCell ref="BF55:BF56"/>
    <mergeCell ref="BF57:BF58"/>
    <mergeCell ref="BF59:BF60"/>
    <mergeCell ref="BF61:BF62"/>
    <mergeCell ref="BF63:BF64"/>
    <mergeCell ref="BU37:BU38"/>
    <mergeCell ref="BU63:BU64"/>
    <mergeCell ref="BK53:BK54"/>
    <mergeCell ref="BK55:BK56"/>
    <mergeCell ref="BK57:BK58"/>
    <mergeCell ref="BK59:BK60"/>
    <mergeCell ref="BK61:BK62"/>
    <mergeCell ref="BK63:BK64"/>
    <mergeCell ref="BK49:BK50"/>
    <mergeCell ref="BK51:BK52"/>
    <mergeCell ref="BJ41:BJ42"/>
    <mergeCell ref="BJ55:BJ56"/>
    <mergeCell ref="BT53:BT54"/>
    <mergeCell ref="BJ57:BJ58"/>
    <mergeCell ref="BJ49:BJ50"/>
    <mergeCell ref="BF39:BF40"/>
    <mergeCell ref="BV37:BV38"/>
    <mergeCell ref="BW37:BW38"/>
    <mergeCell ref="BX37:BX38"/>
    <mergeCell ref="BY37:BY38"/>
    <mergeCell ref="BU55:BU56"/>
    <mergeCell ref="BU57:BU58"/>
    <mergeCell ref="BU59:BU60"/>
    <mergeCell ref="BU61:BU62"/>
    <mergeCell ref="BW53:BW54"/>
    <mergeCell ref="BW61:BW62"/>
    <mergeCell ref="BY45:BY46"/>
    <mergeCell ref="BY47:BY48"/>
    <mergeCell ref="BY49:BY50"/>
    <mergeCell ref="BY51:BY52"/>
    <mergeCell ref="BY53:BY54"/>
    <mergeCell ref="BY55:BY56"/>
    <mergeCell ref="BY57:BY58"/>
    <mergeCell ref="BY59:BY60"/>
    <mergeCell ref="BY61:BY62"/>
    <mergeCell ref="BU65:BU66"/>
    <mergeCell ref="BU67:BU68"/>
    <mergeCell ref="BV55:BV56"/>
    <mergeCell ref="BV57:BV58"/>
    <mergeCell ref="BV59:BV60"/>
    <mergeCell ref="BV61:BV62"/>
    <mergeCell ref="BV63:BV64"/>
    <mergeCell ref="BV65:BV66"/>
    <mergeCell ref="BV67:BV68"/>
    <mergeCell ref="BZ37:BZ38"/>
    <mergeCell ref="BU39:BU40"/>
    <mergeCell ref="BU41:BU42"/>
    <mergeCell ref="BU43:BU44"/>
    <mergeCell ref="BU45:BU46"/>
    <mergeCell ref="BU47:BU48"/>
    <mergeCell ref="BU49:BU50"/>
    <mergeCell ref="BU51:BU52"/>
    <mergeCell ref="BU53:BU54"/>
    <mergeCell ref="BV39:BV40"/>
    <mergeCell ref="BV41:BV42"/>
    <mergeCell ref="BV43:BV44"/>
    <mergeCell ref="BV45:BV46"/>
    <mergeCell ref="BV47:BV48"/>
    <mergeCell ref="BV49:BV50"/>
    <mergeCell ref="BV51:BV52"/>
    <mergeCell ref="BV53:BV54"/>
    <mergeCell ref="BW39:BW40"/>
    <mergeCell ref="BW41:BW42"/>
    <mergeCell ref="BW43:BW44"/>
    <mergeCell ref="BW45:BW46"/>
    <mergeCell ref="BW47:BW48"/>
    <mergeCell ref="BW49:BW50"/>
    <mergeCell ref="BW51:BW52"/>
    <mergeCell ref="BW63:BW64"/>
    <mergeCell ref="BW65:BW66"/>
    <mergeCell ref="BW67:BW68"/>
    <mergeCell ref="BX39:BX40"/>
    <mergeCell ref="BX41:BX42"/>
    <mergeCell ref="BX43:BX44"/>
    <mergeCell ref="BX45:BX46"/>
    <mergeCell ref="BX47:BX48"/>
    <mergeCell ref="BX49:BX50"/>
    <mergeCell ref="BX51:BX52"/>
    <mergeCell ref="BX53:BX54"/>
    <mergeCell ref="BX55:BX56"/>
    <mergeCell ref="BX57:BX58"/>
    <mergeCell ref="BX59:BX60"/>
    <mergeCell ref="BX61:BX62"/>
    <mergeCell ref="BX63:BX64"/>
    <mergeCell ref="BX65:BX66"/>
    <mergeCell ref="BX67:BX68"/>
    <mergeCell ref="BW55:BW56"/>
    <mergeCell ref="BW57:BW58"/>
    <mergeCell ref="BW59:BW60"/>
    <mergeCell ref="BY63:BY64"/>
    <mergeCell ref="BY65:BY66"/>
    <mergeCell ref="BY67:BY68"/>
    <mergeCell ref="BZ39:BZ40"/>
    <mergeCell ref="BZ41:BZ42"/>
    <mergeCell ref="BZ43:BZ44"/>
    <mergeCell ref="BZ45:BZ46"/>
    <mergeCell ref="BZ47:BZ48"/>
    <mergeCell ref="BZ49:BZ50"/>
    <mergeCell ref="BZ51:BZ52"/>
    <mergeCell ref="BZ53:BZ54"/>
    <mergeCell ref="BZ55:BZ56"/>
    <mergeCell ref="BZ57:BZ58"/>
    <mergeCell ref="BZ59:BZ60"/>
    <mergeCell ref="BZ61:BZ62"/>
    <mergeCell ref="BZ63:BZ64"/>
    <mergeCell ref="BZ65:BZ66"/>
    <mergeCell ref="BZ67:BZ68"/>
    <mergeCell ref="BY39:BY40"/>
    <mergeCell ref="BY41:BY42"/>
    <mergeCell ref="BY43:BY44"/>
    <mergeCell ref="M108:M109"/>
    <mergeCell ref="N108:N109"/>
    <mergeCell ref="O108:O109"/>
    <mergeCell ref="P108:P109"/>
    <mergeCell ref="Q108:Q109"/>
    <mergeCell ref="R108:R109"/>
    <mergeCell ref="M110:M111"/>
    <mergeCell ref="N110:N111"/>
    <mergeCell ref="O110:O111"/>
    <mergeCell ref="P110:P111"/>
    <mergeCell ref="Q110:Q111"/>
    <mergeCell ref="R110:R111"/>
  </mergeCells>
  <conditionalFormatting sqref="K108:K112">
    <cfRule type="dataBar" priority="37">
      <dataBar>
        <cfvo type="min"/>
        <cfvo type="max"/>
        <color rgb="FFFFB628"/>
      </dataBar>
    </cfRule>
  </conditionalFormatting>
  <conditionalFormatting sqref="AY37:AY68">
    <cfRule type="cellIs" dxfId="14" priority="7" operator="greaterThan">
      <formula>0.9</formula>
    </cfRule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{70696EDD-5A5B-4A3A-B04E-181DB4E816EC}</x14:id>
        </ext>
      </extLst>
    </cfRule>
  </conditionalFormatting>
  <conditionalFormatting sqref="AY37:AY68 AX69">
    <cfRule type="dataBar" priority="35">
      <dataBar>
        <cfvo type="min"/>
        <cfvo type="max"/>
        <color rgb="FFFFB628"/>
      </dataBar>
    </cfRule>
  </conditionalFormatting>
  <conditionalFormatting sqref="J7:J30">
    <cfRule type="cellIs" dxfId="13" priority="11" operator="greaterThan">
      <formula>0.9</formula>
    </cfRule>
    <cfRule type="cellIs" dxfId="12" priority="12" operator="greaterThan">
      <formula>90</formula>
    </cfRule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{B375C001-4669-4603-813F-DF2ABD1877DF}</x14:id>
        </ext>
      </extLst>
    </cfRule>
  </conditionalFormatting>
  <conditionalFormatting sqref="Q7:Q30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{EE7428B9-5F39-463B-9A41-7E3B2FB0F3E3}</x14:id>
        </ext>
      </extLst>
    </cfRule>
  </conditionalFormatting>
  <conditionalFormatting sqref="AF37:AF70">
    <cfRule type="cellIs" dxfId="11" priority="8" operator="greaterThan">
      <formula>0.9</formula>
    </cfRule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{C951F9E2-D599-4CD4-8DBF-7580C9E76B68}</x14:id>
        </ext>
      </extLst>
    </cfRule>
  </conditionalFormatting>
  <conditionalFormatting sqref="AF37:AF70 AE71">
    <cfRule type="dataBar" priority="52">
      <dataBar>
        <cfvo type="min"/>
        <cfvo type="max"/>
        <color rgb="FFFFB628"/>
      </dataBar>
    </cfRule>
  </conditionalFormatting>
  <conditionalFormatting sqref="BS37:BS68">
    <cfRule type="cellIs" dxfId="10" priority="6" operator="greaterThan">
      <formula>0.9</formula>
    </cfRule>
    <cfRule type="dataBar" priority="17">
      <dataBar>
        <cfvo type="percent" val="0"/>
        <cfvo type="percent" val="100"/>
        <color rgb="FF008AEF"/>
      </dataBar>
      <extLst>
        <ext xmlns:x14="http://schemas.microsoft.com/office/spreadsheetml/2009/9/main" uri="{B025F937-C7B1-47D3-B67F-A62EFF666E3E}">
          <x14:id>{61387241-8F08-4019-81EA-BA34ADD13F31}</x14:id>
        </ext>
      </extLst>
    </cfRule>
  </conditionalFormatting>
  <conditionalFormatting sqref="Q32:Q34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{15CDDF9A-025A-4B22-82C0-2FADD234B5ED}</x14:id>
        </ext>
      </extLst>
    </cfRule>
  </conditionalFormatting>
  <conditionalFormatting sqref="K108:K111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{1473D23B-C6A9-4D44-BD00-935C76C0E1FD}</x14:id>
        </ext>
      </extLst>
    </cfRule>
  </conditionalFormatting>
  <conditionalFormatting sqref="J32:J34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{12C85843-3016-49FD-8B70-37E39C9FE42A}</x14:id>
        </ext>
      </extLst>
    </cfRule>
  </conditionalFormatting>
  <conditionalFormatting sqref="Q7:Q34">
    <cfRule type="cellIs" dxfId="9" priority="10" operator="greaterThan">
      <formula>0.9</formula>
    </cfRule>
  </conditionalFormatting>
  <conditionalFormatting sqref="K108:K113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{780DD036-BD03-41D4-93C2-A32AD7F74222}</x14:id>
        </ext>
      </extLst>
    </cfRule>
  </conditionalFormatting>
  <conditionalFormatting sqref="AY37:AY68 AX69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{1B0F4778-C1C9-468C-B3C8-296C8A9C6E25}</x14:id>
        </ext>
      </extLst>
    </cfRule>
  </conditionalFormatting>
  <conditionalFormatting sqref="AX69:AX70 AY37:AY68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{D11806BB-02F1-4E9F-A929-1A1A3E6AB5A7}</x14:id>
        </ext>
      </extLst>
    </cfRule>
  </conditionalFormatting>
  <conditionalFormatting sqref="AY37:AY68 BG3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{DD6F3E54-2E2A-49B2-B81D-A09CB7E1404B}</x14:id>
        </ext>
      </extLst>
    </cfRule>
  </conditionalFormatting>
  <conditionalFormatting sqref="M37:M102">
    <cfRule type="dataBar" priority="69">
      <dataBar>
        <cfvo type="percent" val="0"/>
        <cfvo type="percent" val="100"/>
        <color rgb="FF008AEF"/>
      </dataBar>
      <extLst>
        <ext xmlns:x14="http://schemas.microsoft.com/office/spreadsheetml/2009/9/main" uri="{B025F937-C7B1-47D3-B67F-A62EFF666E3E}">
          <x14:id>{A11BD54C-7FDB-4EA7-AF82-07C05BF21950}</x14:id>
        </ext>
      </extLst>
    </cfRule>
    <cfRule type="cellIs" dxfId="8" priority="70" operator="greaterThan">
      <formula>0.9</formula>
    </cfRule>
  </conditionalFormatting>
  <pageMargins left="0.7" right="0.7" top="0.75" bottom="0.75" header="0.3" footer="0.3"/>
  <pageSetup paperSize="172" orientation="portrait" r:id="rId1"/>
  <ignoredErrors>
    <ignoredError sqref="AJ38:AJ70 AC39:AC70 AA39:AA50 H109 O108:O111 AA53:AA70" 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696EDD-5A5B-4A3A-B04E-181DB4E816EC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FFB628"/>
            </x14:dataBar>
          </x14:cfRule>
          <xm:sqref>AY37:AY68</xm:sqref>
        </x14:conditionalFormatting>
        <x14:conditionalFormatting xmlns:xm="http://schemas.microsoft.com/office/excel/2006/main">
          <x14:cfRule type="dataBar" id="{B375C001-4669-4603-813F-DF2ABD1877DF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FFB628"/>
            </x14:dataBar>
          </x14:cfRule>
          <xm:sqref>J7:J30</xm:sqref>
        </x14:conditionalFormatting>
        <x14:conditionalFormatting xmlns:xm="http://schemas.microsoft.com/office/excel/2006/main">
          <x14:cfRule type="dataBar" id="{EE7428B9-5F39-463B-9A41-7E3B2FB0F3E3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FFB628"/>
            </x14:dataBar>
          </x14:cfRule>
          <xm:sqref>Q7:Q30</xm:sqref>
        </x14:conditionalFormatting>
        <x14:conditionalFormatting xmlns:xm="http://schemas.microsoft.com/office/excel/2006/main">
          <x14:cfRule type="dataBar" id="{C951F9E2-D599-4CD4-8DBF-7580C9E76B68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008AEF"/>
            </x14:dataBar>
          </x14:cfRule>
          <xm:sqref>AF37:AF70</xm:sqref>
        </x14:conditionalFormatting>
        <x14:conditionalFormatting xmlns:xm="http://schemas.microsoft.com/office/excel/2006/main">
          <x14:cfRule type="dataBar" id="{61387241-8F08-4019-81EA-BA34ADD13F31}">
            <x14:dataBar border="1" negativeBarColorSameAsPositive="1" negativeBarBorderColorSameAsPositive="0" axisPosition="none">
              <x14:cfvo type="percent">
                <xm:f>0</xm:f>
              </x14:cfvo>
              <x14:cfvo type="percent">
                <xm:f>100</xm:f>
              </x14:cfvo>
              <x14:borderColor rgb="FF008AEF"/>
              <x14:negativeBorderColor rgb="FFFFB628"/>
            </x14:dataBar>
          </x14:cfRule>
          <xm:sqref>BS37:BS68</xm:sqref>
        </x14:conditionalFormatting>
        <x14:conditionalFormatting xmlns:xm="http://schemas.microsoft.com/office/excel/2006/main">
          <x14:cfRule type="dataBar" id="{15CDDF9A-025A-4B22-82C0-2FADD234B5ED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FFB628"/>
            </x14:dataBar>
          </x14:cfRule>
          <xm:sqref>Q32:Q34</xm:sqref>
        </x14:conditionalFormatting>
        <x14:conditionalFormatting xmlns:xm="http://schemas.microsoft.com/office/excel/2006/main">
          <x14:cfRule type="dataBar" id="{1473D23B-C6A9-4D44-BD00-935C76C0E1F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K108:K111</xm:sqref>
        </x14:conditionalFormatting>
        <x14:conditionalFormatting xmlns:xm="http://schemas.microsoft.com/office/excel/2006/main">
          <x14:cfRule type="dataBar" id="{12C85843-3016-49FD-8B70-37E39C9FE4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J32:J34</xm:sqref>
        </x14:conditionalFormatting>
        <x14:conditionalFormatting xmlns:xm="http://schemas.microsoft.com/office/excel/2006/main">
          <x14:cfRule type="dataBar" id="{780DD036-BD03-41D4-93C2-A32AD7F742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K108:K113</xm:sqref>
        </x14:conditionalFormatting>
        <x14:conditionalFormatting xmlns:xm="http://schemas.microsoft.com/office/excel/2006/main">
          <x14:cfRule type="dataBar" id="{1B0F4778-C1C9-468C-B3C8-296C8A9C6E2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AY37:AY68 AX69</xm:sqref>
        </x14:conditionalFormatting>
        <x14:conditionalFormatting xmlns:xm="http://schemas.microsoft.com/office/excel/2006/main">
          <x14:cfRule type="dataBar" id="{D11806BB-02F1-4E9F-A929-1A1A3E6AB5A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AX69:AX70 AY37:AY68</xm:sqref>
        </x14:conditionalFormatting>
        <x14:conditionalFormatting xmlns:xm="http://schemas.microsoft.com/office/excel/2006/main">
          <x14:cfRule type="dataBar" id="{DD6F3E54-2E2A-49B2-B81D-A09CB7E1404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AY37:AY68 BG36</xm:sqref>
        </x14:conditionalFormatting>
        <x14:conditionalFormatting xmlns:xm="http://schemas.microsoft.com/office/excel/2006/main">
          <x14:cfRule type="dataBar" id="{A11BD54C-7FDB-4EA7-AF82-07C05BF21950}">
            <x14:dataBar minLength="0" maxLength="100" border="1" negativeBarBorderColorSameAsPositive="0">
              <x14:cfvo type="percent">
                <xm:f>0</xm:f>
              </x14:cfvo>
              <x14:cfvo type="percent">
                <xm:f>100</xm:f>
              </x14:cfvo>
              <x14:borderColor rgb="FF008AEF"/>
              <x14:negativeFillColor rgb="FFFF0000"/>
              <x14:negativeBorderColor rgb="FFFF0000"/>
              <x14:axisColor rgb="FF000000"/>
            </x14:dataBar>
          </x14:cfRule>
          <xm:sqref>M37:M102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F41"/>
  <sheetViews>
    <sheetView showGridLines="0" zoomScale="90" zoomScaleNormal="90" workbookViewId="0">
      <selection activeCell="C5" sqref="C5:C6"/>
    </sheetView>
  </sheetViews>
  <sheetFormatPr baseColWidth="10" defaultRowHeight="15" x14ac:dyDescent="0.25"/>
  <cols>
    <col min="1" max="1" width="20.28515625" style="155" customWidth="1"/>
    <col min="2" max="2" width="12.42578125" style="155" customWidth="1"/>
    <col min="3" max="3" width="24.42578125" style="155" customWidth="1"/>
    <col min="4" max="4" width="11.42578125" style="155"/>
    <col min="5" max="5" width="17.5703125" style="155" customWidth="1"/>
    <col min="6" max="6" width="14.85546875" style="155" customWidth="1"/>
    <col min="7" max="7" width="11.42578125" style="155"/>
    <col min="8" max="8" width="19.42578125" style="155" customWidth="1"/>
    <col min="9" max="9" width="11.42578125" style="155"/>
    <col min="10" max="10" width="11.42578125" style="155" bestFit="1" customWidth="1"/>
    <col min="11" max="11" width="11.42578125" style="155"/>
    <col min="12" max="12" width="13.42578125" style="155" customWidth="1"/>
    <col min="13" max="15" width="11.42578125" style="155"/>
    <col min="16" max="16" width="11.42578125" style="155" bestFit="1" customWidth="1"/>
    <col min="17" max="17" width="11.42578125" style="155"/>
    <col min="18" max="18" width="77.85546875" style="155" customWidth="1"/>
    <col min="19" max="19" width="13.85546875" style="155" customWidth="1"/>
    <col min="20" max="21" width="11.42578125" style="155"/>
    <col min="22" max="22" width="18.85546875" style="155" bestFit="1" customWidth="1"/>
    <col min="23" max="28" width="11.42578125" style="155"/>
    <col min="29" max="29" width="12.140625" style="155" bestFit="1" customWidth="1"/>
    <col min="30" max="30" width="0" style="155" hidden="1" customWidth="1"/>
    <col min="31" max="16384" width="11.42578125" style="155"/>
  </cols>
  <sheetData>
    <row r="1" spans="1:32" ht="15.75" thickBot="1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32" s="159" customFormat="1" ht="21" customHeight="1" x14ac:dyDescent="0.25">
      <c r="A2" s="153"/>
      <c r="B2" s="561" t="s">
        <v>184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3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1:32" s="159" customFormat="1" ht="15" customHeight="1" thickBot="1" x14ac:dyDescent="0.3">
      <c r="A3" s="153"/>
      <c r="B3" s="351">
        <v>43465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3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</row>
    <row r="4" spans="1:32" s="159" customFormat="1" ht="15.75" thickBot="1" x14ac:dyDescent="0.3">
      <c r="A4" s="153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8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8"/>
      <c r="AE4" s="158"/>
      <c r="AF4" s="158"/>
    </row>
    <row r="5" spans="1:32" s="159" customFormat="1" ht="15" customHeight="1" x14ac:dyDescent="0.25">
      <c r="A5" s="153"/>
      <c r="B5" s="559" t="s">
        <v>179</v>
      </c>
      <c r="C5" s="520" t="s">
        <v>180</v>
      </c>
      <c r="D5" s="520" t="s">
        <v>180</v>
      </c>
      <c r="E5" s="522" t="s">
        <v>176</v>
      </c>
      <c r="F5" s="522"/>
      <c r="G5" s="522"/>
      <c r="H5" s="522" t="s">
        <v>177</v>
      </c>
      <c r="I5" s="522"/>
      <c r="J5" s="523"/>
      <c r="K5" s="524" t="s">
        <v>178</v>
      </c>
      <c r="L5" s="522"/>
      <c r="M5" s="522"/>
      <c r="N5" s="522"/>
      <c r="O5" s="522"/>
      <c r="P5" s="525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</row>
    <row r="6" spans="1:32" s="158" customFormat="1" ht="58.5" customHeight="1" thickBot="1" x14ac:dyDescent="0.3">
      <c r="A6" s="152"/>
      <c r="B6" s="560"/>
      <c r="C6" s="521"/>
      <c r="D6" s="521"/>
      <c r="E6" s="213" t="s">
        <v>185</v>
      </c>
      <c r="F6" s="213" t="s">
        <v>181</v>
      </c>
      <c r="G6" s="213" t="s">
        <v>6</v>
      </c>
      <c r="H6" s="214" t="s">
        <v>149</v>
      </c>
      <c r="I6" s="214" t="s">
        <v>150</v>
      </c>
      <c r="J6" s="272" t="s">
        <v>182</v>
      </c>
      <c r="K6" s="276" t="s">
        <v>183</v>
      </c>
      <c r="L6" s="214" t="s">
        <v>181</v>
      </c>
      <c r="M6" s="214" t="s">
        <v>6</v>
      </c>
      <c r="N6" s="214" t="s">
        <v>149</v>
      </c>
      <c r="O6" s="215" t="s">
        <v>150</v>
      </c>
      <c r="P6" s="216" t="s">
        <v>182</v>
      </c>
      <c r="AD6" s="159"/>
      <c r="AE6" s="159"/>
      <c r="AF6" s="159"/>
    </row>
    <row r="7" spans="1:32" s="159" customFormat="1" ht="27" customHeight="1" x14ac:dyDescent="0.25">
      <c r="A7" s="153"/>
      <c r="B7" s="552" t="s">
        <v>429</v>
      </c>
      <c r="C7" s="514" t="s">
        <v>143</v>
      </c>
      <c r="D7" s="217" t="s">
        <v>144</v>
      </c>
      <c r="E7" s="22">
        <v>220.85900000000001</v>
      </c>
      <c r="F7" s="310">
        <f>1124.247+224.85+18.558+580.5+7.753+74.04-74.04+73.586+48.589+844.229+500+73.814+5.325+1.736+8.267</f>
        <v>3511.4539999999993</v>
      </c>
      <c r="G7" s="22">
        <f>E7+F7</f>
        <v>3732.3129999999992</v>
      </c>
      <c r="H7" s="223"/>
      <c r="I7" s="14">
        <f>G7-H7</f>
        <v>3732.3129999999992</v>
      </c>
      <c r="J7" s="273">
        <f>H7/G7</f>
        <v>0</v>
      </c>
      <c r="K7" s="565">
        <f>E7+E8</f>
        <v>630.95299999999997</v>
      </c>
      <c r="L7" s="566">
        <f>F7+F8</f>
        <v>4341.7929999999997</v>
      </c>
      <c r="M7" s="567">
        <f>K7+L7</f>
        <v>4972.7459999999992</v>
      </c>
      <c r="N7" s="567">
        <f>H7+H8</f>
        <v>4968.1850000000004</v>
      </c>
      <c r="O7" s="568">
        <f>M7-N7</f>
        <v>4.5609999999987849</v>
      </c>
      <c r="P7" s="564">
        <f>N7/M7</f>
        <v>0.99908280052912435</v>
      </c>
      <c r="S7" s="546" t="s">
        <v>145</v>
      </c>
      <c r="T7" s="548" t="s">
        <v>146</v>
      </c>
      <c r="U7" s="532" t="s">
        <v>147</v>
      </c>
      <c r="V7" s="550" t="s">
        <v>148</v>
      </c>
      <c r="W7" s="550"/>
      <c r="X7" s="550"/>
      <c r="Y7" s="550"/>
      <c r="Z7" s="532" t="s">
        <v>149</v>
      </c>
      <c r="AA7" s="532" t="s">
        <v>150</v>
      </c>
      <c r="AB7" s="532" t="s">
        <v>151</v>
      </c>
      <c r="AC7" s="534" t="s">
        <v>152</v>
      </c>
      <c r="AD7" s="199">
        <v>1</v>
      </c>
    </row>
    <row r="8" spans="1:32" s="159" customFormat="1" x14ac:dyDescent="0.25">
      <c r="A8" s="153"/>
      <c r="B8" s="544"/>
      <c r="C8" s="526"/>
      <c r="D8" s="218" t="s">
        <v>153</v>
      </c>
      <c r="E8" s="147">
        <v>410.09399999999999</v>
      </c>
      <c r="F8" s="254">
        <f>77.718+2.222+600+43.043+40.92+3.464+20.427+146.604+29.987+2.737+9.217-146</f>
        <v>830.33900000000006</v>
      </c>
      <c r="G8" s="148">
        <f>E8+F8+I7</f>
        <v>4972.7459999999992</v>
      </c>
      <c r="H8" s="1">
        <v>4968.1850000000004</v>
      </c>
      <c r="I8" s="148">
        <f t="shared" ref="I8:I24" si="0">G8-H8</f>
        <v>4.5609999999987849</v>
      </c>
      <c r="J8" s="274">
        <f>H8/G8</f>
        <v>0.99908280052912435</v>
      </c>
      <c r="K8" s="515"/>
      <c r="L8" s="516"/>
      <c r="M8" s="517"/>
      <c r="N8" s="517"/>
      <c r="O8" s="518"/>
      <c r="P8" s="519"/>
      <c r="S8" s="547"/>
      <c r="T8" s="549"/>
      <c r="U8" s="533"/>
      <c r="V8" s="162" t="s">
        <v>154</v>
      </c>
      <c r="W8" s="162" t="s">
        <v>155</v>
      </c>
      <c r="X8" s="162" t="s">
        <v>156</v>
      </c>
      <c r="Y8" s="162" t="s">
        <v>157</v>
      </c>
      <c r="Z8" s="533"/>
      <c r="AA8" s="533"/>
      <c r="AB8" s="533"/>
      <c r="AC8" s="535"/>
    </row>
    <row r="9" spans="1:32" s="159" customFormat="1" x14ac:dyDescent="0.25">
      <c r="A9" s="153"/>
      <c r="B9" s="544"/>
      <c r="C9" s="526" t="s">
        <v>158</v>
      </c>
      <c r="D9" s="218" t="s">
        <v>144</v>
      </c>
      <c r="E9" s="147">
        <v>206.52699999999999</v>
      </c>
      <c r="F9" s="254"/>
      <c r="G9" s="147">
        <f>E9+F9</f>
        <v>206.52699999999999</v>
      </c>
      <c r="H9" s="346">
        <f>77.854-27.267</f>
        <v>50.587000000000003</v>
      </c>
      <c r="I9" s="148">
        <f t="shared" si="0"/>
        <v>155.94</v>
      </c>
      <c r="J9" s="274">
        <f>H9/G9</f>
        <v>0.24494133938903875</v>
      </c>
      <c r="K9" s="515">
        <f>E9+E10</f>
        <v>590.00800000000004</v>
      </c>
      <c r="L9" s="516">
        <f t="shared" ref="L9" si="1">F9+F10</f>
        <v>798.75000000000011</v>
      </c>
      <c r="M9" s="517">
        <f t="shared" ref="M9" si="2">K9+L9</f>
        <v>1388.7580000000003</v>
      </c>
      <c r="N9" s="517">
        <f t="shared" ref="N9" si="3">H9+H10</f>
        <v>1285.0049999999999</v>
      </c>
      <c r="O9" s="518">
        <f t="shared" ref="O9" si="4">M9-N9</f>
        <v>103.75300000000038</v>
      </c>
      <c r="P9" s="519">
        <f t="shared" ref="P9" si="5">N9/M9</f>
        <v>0.92529079940493564</v>
      </c>
      <c r="S9" s="536" t="s">
        <v>159</v>
      </c>
      <c r="T9" s="538" t="s">
        <v>160</v>
      </c>
      <c r="U9" s="540">
        <v>4948</v>
      </c>
      <c r="V9" s="15" t="s">
        <v>161</v>
      </c>
      <c r="W9" s="16">
        <f t="shared" ref="W9:Z10" si="6">E7+E9+E11+E13+E15+E17+E23+E19</f>
        <v>1732.0010000000002</v>
      </c>
      <c r="X9" s="16">
        <f t="shared" si="6"/>
        <v>4914.2829999999994</v>
      </c>
      <c r="Y9" s="16">
        <f t="shared" si="6"/>
        <v>6646.2840000000006</v>
      </c>
      <c r="Z9" s="16">
        <f t="shared" si="6"/>
        <v>188.45400000000001</v>
      </c>
      <c r="AA9" s="17">
        <f>Y9-Z9</f>
        <v>6457.8300000000008</v>
      </c>
      <c r="AB9" s="172">
        <f>Z9/Y9</f>
        <v>2.8354791940880045E-2</v>
      </c>
      <c r="AC9" s="18"/>
    </row>
    <row r="10" spans="1:32" s="159" customFormat="1" ht="15.75" thickBot="1" x14ac:dyDescent="0.3">
      <c r="A10" s="153"/>
      <c r="B10" s="544"/>
      <c r="C10" s="526"/>
      <c r="D10" s="218" t="s">
        <v>153</v>
      </c>
      <c r="E10" s="1">
        <v>383.48099999999999</v>
      </c>
      <c r="F10" s="254">
        <f xml:space="preserve"> 6.997+5.819+99+53.432+87.691+53.488-3.464+9.1+77+2.099+6.225+222.104+7.198+77.777+89.987+4.297</f>
        <v>798.75000000000011</v>
      </c>
      <c r="G10" s="147">
        <f>E10+F10+I9</f>
        <v>1338.1710000000003</v>
      </c>
      <c r="H10" s="69">
        <v>1234.4179999999999</v>
      </c>
      <c r="I10" s="148">
        <f t="shared" si="0"/>
        <v>103.75300000000038</v>
      </c>
      <c r="J10" s="274">
        <f>H10/G10</f>
        <v>0.92246656070113586</v>
      </c>
      <c r="K10" s="515"/>
      <c r="L10" s="516"/>
      <c r="M10" s="517"/>
      <c r="N10" s="517"/>
      <c r="O10" s="518"/>
      <c r="P10" s="519"/>
      <c r="S10" s="537"/>
      <c r="T10" s="539"/>
      <c r="U10" s="541"/>
      <c r="V10" s="19" t="s">
        <v>162</v>
      </c>
      <c r="W10" s="20">
        <f t="shared" si="6"/>
        <v>3215.9989999999998</v>
      </c>
      <c r="X10" s="20">
        <f t="shared" si="6"/>
        <v>3114.3960000000011</v>
      </c>
      <c r="Y10" s="20">
        <f t="shared" si="6"/>
        <v>12788.224999999999</v>
      </c>
      <c r="Z10" s="20">
        <f t="shared" si="6"/>
        <v>12617.864</v>
      </c>
      <c r="AA10" s="17">
        <f>Y10-Z10</f>
        <v>170.36099999999897</v>
      </c>
      <c r="AB10" s="173">
        <f t="shared" ref="AB10" si="7">Z10/Y10</f>
        <v>0.98667829194434731</v>
      </c>
      <c r="AC10" s="21"/>
    </row>
    <row r="11" spans="1:32" s="159" customFormat="1" x14ac:dyDescent="0.25">
      <c r="A11" s="153"/>
      <c r="B11" s="544"/>
      <c r="C11" s="526" t="s">
        <v>163</v>
      </c>
      <c r="D11" s="218" t="s">
        <v>144</v>
      </c>
      <c r="E11" s="147">
        <v>379.53399999999999</v>
      </c>
      <c r="F11" s="254">
        <f>14.1+99.867</f>
        <v>113.967</v>
      </c>
      <c r="G11" s="148">
        <f>E11+F11</f>
        <v>493.50099999999998</v>
      </c>
      <c r="H11" s="347">
        <v>1.9710000000000001</v>
      </c>
      <c r="I11" s="148">
        <f t="shared" si="0"/>
        <v>491.53</v>
      </c>
      <c r="J11" s="274">
        <f>H11/G11</f>
        <v>3.9939128796091603E-3</v>
      </c>
      <c r="K11" s="515">
        <f>E11+E12</f>
        <v>1084.258</v>
      </c>
      <c r="L11" s="516">
        <f t="shared" ref="L11" si="8">F11+F12</f>
        <v>2710.3250000000003</v>
      </c>
      <c r="M11" s="516">
        <f>K11+L11</f>
        <v>3794.5830000000005</v>
      </c>
      <c r="N11" s="517">
        <f>H11+H12</f>
        <v>3794.5829999999996</v>
      </c>
      <c r="O11" s="518">
        <f t="shared" ref="O11" si="9">M11-N11</f>
        <v>0</v>
      </c>
      <c r="P11" s="519">
        <f t="shared" ref="P11" si="10">N11/M11</f>
        <v>0.99999999999999978</v>
      </c>
      <c r="Z11" s="168">
        <f>SUM(Z9:Z10)</f>
        <v>12806.317999999999</v>
      </c>
    </row>
    <row r="12" spans="1:32" s="159" customFormat="1" x14ac:dyDescent="0.25">
      <c r="A12" s="153"/>
      <c r="B12" s="544"/>
      <c r="C12" s="526"/>
      <c r="D12" s="218" t="s">
        <v>153</v>
      </c>
      <c r="E12" s="147">
        <v>704.72400000000005</v>
      </c>
      <c r="F12" s="254">
        <f>1000-43.043+460+42.751+160.316+560.957+443.489+80.123+113.869-222.104</f>
        <v>2596.3580000000002</v>
      </c>
      <c r="G12" s="148">
        <f>E12+F12+I11</f>
        <v>3792.6120000000001</v>
      </c>
      <c r="H12" s="1">
        <f>0.066+3792.546</f>
        <v>3792.6119999999996</v>
      </c>
      <c r="I12" s="148">
        <f>G12-H12</f>
        <v>0</v>
      </c>
      <c r="J12" s="274">
        <f t="shared" ref="J12:J18" si="11">H12/G12</f>
        <v>0.99999999999999989</v>
      </c>
      <c r="K12" s="515"/>
      <c r="L12" s="516"/>
      <c r="M12" s="517"/>
      <c r="N12" s="517"/>
      <c r="O12" s="518"/>
      <c r="P12" s="519"/>
    </row>
    <row r="13" spans="1:32" s="159" customFormat="1" x14ac:dyDescent="0.25">
      <c r="A13" s="153"/>
      <c r="B13" s="544"/>
      <c r="C13" s="526" t="s">
        <v>164</v>
      </c>
      <c r="D13" s="218" t="s">
        <v>165</v>
      </c>
      <c r="E13" s="1">
        <v>51.43</v>
      </c>
      <c r="F13" s="254"/>
      <c r="G13" s="147">
        <f t="shared" ref="G13" si="12">E13+F13</f>
        <v>51.43</v>
      </c>
      <c r="H13" s="1"/>
      <c r="I13" s="148">
        <f t="shared" si="0"/>
        <v>51.43</v>
      </c>
      <c r="J13" s="274">
        <f t="shared" si="11"/>
        <v>0</v>
      </c>
      <c r="K13" s="515">
        <f>E13+E14</f>
        <v>146.92699999999999</v>
      </c>
      <c r="L13" s="516">
        <f t="shared" ref="L13" si="13">F13+F14</f>
        <v>-80.123000000000005</v>
      </c>
      <c r="M13" s="517">
        <f t="shared" ref="M13" si="14">K13+L13</f>
        <v>66.803999999999988</v>
      </c>
      <c r="N13" s="517">
        <f t="shared" ref="N13" si="15">H13+H14</f>
        <v>66.804000000000002</v>
      </c>
      <c r="O13" s="518">
        <f t="shared" ref="O13" si="16">M13-N13</f>
        <v>0</v>
      </c>
      <c r="P13" s="519">
        <f t="shared" ref="P13" si="17">N13/M13</f>
        <v>1.0000000000000002</v>
      </c>
    </row>
    <row r="14" spans="1:32" s="159" customFormat="1" x14ac:dyDescent="0.25">
      <c r="A14" s="153"/>
      <c r="B14" s="544"/>
      <c r="C14" s="526"/>
      <c r="D14" s="218" t="s">
        <v>153</v>
      </c>
      <c r="E14" s="1">
        <v>95.497</v>
      </c>
      <c r="F14" s="254">
        <f>-80.123</f>
        <v>-80.123000000000005</v>
      </c>
      <c r="G14" s="147">
        <f t="shared" ref="G14" si="18">E14+F14+I13</f>
        <v>66.804000000000002</v>
      </c>
      <c r="H14" s="1">
        <v>66.804000000000002</v>
      </c>
      <c r="I14" s="148">
        <f t="shared" si="0"/>
        <v>0</v>
      </c>
      <c r="J14" s="274">
        <f t="shared" si="11"/>
        <v>1</v>
      </c>
      <c r="K14" s="515"/>
      <c r="L14" s="516"/>
      <c r="M14" s="517"/>
      <c r="N14" s="517"/>
      <c r="O14" s="518"/>
      <c r="P14" s="519"/>
    </row>
    <row r="15" spans="1:32" s="159" customFormat="1" x14ac:dyDescent="0.25">
      <c r="A15" s="153"/>
      <c r="B15" s="544"/>
      <c r="C15" s="526" t="s">
        <v>166</v>
      </c>
      <c r="D15" s="218" t="s">
        <v>144</v>
      </c>
      <c r="E15" s="147">
        <v>873.49400000000003</v>
      </c>
      <c r="F15" s="254">
        <f>340.047+23.506+36.975+41.605+47.99+24.252+95.557-95.557+99.107+35.842+22.088+66.004+51.337+180+120+0.099+0.099+99.486+2.658+80+16.2+1.637</f>
        <v>1288.9319999999998</v>
      </c>
      <c r="G15" s="147">
        <f>E15+F15</f>
        <v>2162.4259999999999</v>
      </c>
      <c r="H15" s="346">
        <f>195.432-59.536</f>
        <v>135.89599999999999</v>
      </c>
      <c r="I15" s="148">
        <f t="shared" si="0"/>
        <v>2026.53</v>
      </c>
      <c r="J15" s="274">
        <f t="shared" si="11"/>
        <v>6.2844231432659423E-2</v>
      </c>
      <c r="K15" s="515">
        <f>E15+E16</f>
        <v>2495.4079999999999</v>
      </c>
      <c r="L15" s="516">
        <f t="shared" ref="L15" si="19">F15+F16</f>
        <v>258.37899999999991</v>
      </c>
      <c r="M15" s="517">
        <f t="shared" ref="M15" si="20">K15+L15</f>
        <v>2753.7869999999998</v>
      </c>
      <c r="N15" s="517">
        <f t="shared" ref="N15" si="21">H15+H16</f>
        <v>2691.741</v>
      </c>
      <c r="O15" s="518">
        <f t="shared" ref="O15" si="22">M15-N15</f>
        <v>62.045999999999822</v>
      </c>
      <c r="P15" s="519">
        <f t="shared" ref="P15" si="23">N15/M15</f>
        <v>0.97746884562967296</v>
      </c>
    </row>
    <row r="16" spans="1:32" s="159" customFormat="1" x14ac:dyDescent="0.25">
      <c r="A16" s="153"/>
      <c r="B16" s="544"/>
      <c r="C16" s="526"/>
      <c r="D16" s="218" t="s">
        <v>153</v>
      </c>
      <c r="E16" s="147">
        <v>1621.914</v>
      </c>
      <c r="F16" s="254">
        <f>+-40.92+2.27-42.751-160.316-560.957-443.489+3.4+122.223+89.987</f>
        <v>-1030.5529999999999</v>
      </c>
      <c r="G16" s="147">
        <f>E16+F16+I15</f>
        <v>2617.8910000000001</v>
      </c>
      <c r="H16" s="69">
        <v>2555.8449999999998</v>
      </c>
      <c r="I16" s="148">
        <f t="shared" si="0"/>
        <v>62.046000000000276</v>
      </c>
      <c r="J16" s="274">
        <f t="shared" si="11"/>
        <v>0.97629924240543231</v>
      </c>
      <c r="K16" s="515"/>
      <c r="L16" s="516"/>
      <c r="M16" s="517"/>
      <c r="N16" s="517"/>
      <c r="O16" s="518"/>
      <c r="P16" s="519"/>
    </row>
    <row r="17" spans="1:29" s="159" customFormat="1" x14ac:dyDescent="0.25">
      <c r="A17" s="153"/>
      <c r="B17" s="544"/>
      <c r="C17" s="526" t="s">
        <v>167</v>
      </c>
      <c r="D17" s="218" t="s">
        <v>144</v>
      </c>
      <c r="E17" s="1">
        <v>8.6999999999999994E-2</v>
      </c>
      <c r="F17" s="254"/>
      <c r="G17" s="147">
        <f t="shared" ref="G17:G23" si="24">E17+F17</f>
        <v>8.6999999999999994E-2</v>
      </c>
      <c r="H17" s="1"/>
      <c r="I17" s="148">
        <f t="shared" si="0"/>
        <v>8.6999999999999994E-2</v>
      </c>
      <c r="J17" s="274">
        <f t="shared" si="11"/>
        <v>0</v>
      </c>
      <c r="K17" s="515">
        <f>E17+E18</f>
        <v>0.248</v>
      </c>
      <c r="L17" s="516">
        <f>F17+F18</f>
        <v>-0.247</v>
      </c>
      <c r="M17" s="517">
        <f t="shared" ref="M17" si="25">K17+L17</f>
        <v>1.0000000000000009E-3</v>
      </c>
      <c r="N17" s="517">
        <f>H17+H18</f>
        <v>0</v>
      </c>
      <c r="O17" s="518">
        <f t="shared" ref="O17" si="26">M17-N17</f>
        <v>1.0000000000000009E-3</v>
      </c>
      <c r="P17" s="519">
        <f t="shared" ref="P17:P21" si="27">N17/M17</f>
        <v>0</v>
      </c>
    </row>
    <row r="18" spans="1:29" s="159" customFormat="1" x14ac:dyDescent="0.25">
      <c r="A18" s="153"/>
      <c r="B18" s="544"/>
      <c r="C18" s="526"/>
      <c r="D18" s="218" t="s">
        <v>153</v>
      </c>
      <c r="E18" s="1">
        <v>0.161</v>
      </c>
      <c r="F18" s="254">
        <f>-0.247</f>
        <v>-0.247</v>
      </c>
      <c r="G18" s="147">
        <f>E18+F18+I17</f>
        <v>1.0000000000000009E-3</v>
      </c>
      <c r="H18" s="1"/>
      <c r="I18" s="148">
        <f t="shared" si="0"/>
        <v>1.0000000000000009E-3</v>
      </c>
      <c r="J18" s="274">
        <f t="shared" si="11"/>
        <v>0</v>
      </c>
      <c r="K18" s="515"/>
      <c r="L18" s="516"/>
      <c r="M18" s="517"/>
      <c r="N18" s="517"/>
      <c r="O18" s="518"/>
      <c r="P18" s="519"/>
    </row>
    <row r="19" spans="1:29" s="159" customFormat="1" x14ac:dyDescent="0.25">
      <c r="A19" s="153"/>
      <c r="B19" s="544"/>
      <c r="C19" s="526" t="s">
        <v>168</v>
      </c>
      <c r="D19" s="218" t="s">
        <v>169</v>
      </c>
      <c r="E19" s="1">
        <v>3.5000000000000003E-2</v>
      </c>
      <c r="F19" s="254">
        <v>-3.5000000000000003E-2</v>
      </c>
      <c r="G19" s="147">
        <f t="shared" si="24"/>
        <v>0</v>
      </c>
      <c r="H19" s="1"/>
      <c r="I19" s="148">
        <f t="shared" si="0"/>
        <v>0</v>
      </c>
      <c r="J19" s="274">
        <v>0</v>
      </c>
      <c r="K19" s="515">
        <f>E19+E20</f>
        <v>9.9000000000000005E-2</v>
      </c>
      <c r="L19" s="516">
        <f>F19+F20</f>
        <v>-9.9000000000000005E-2</v>
      </c>
      <c r="M19" s="517">
        <f t="shared" ref="M19" si="28">K19+L19</f>
        <v>0</v>
      </c>
      <c r="N19" s="517">
        <f>H19+H20</f>
        <v>0</v>
      </c>
      <c r="O19" s="518">
        <f t="shared" ref="O19" si="29">M19-N19</f>
        <v>0</v>
      </c>
      <c r="P19" s="542">
        <v>0</v>
      </c>
    </row>
    <row r="20" spans="1:29" s="159" customFormat="1" x14ac:dyDescent="0.25">
      <c r="A20" s="153"/>
      <c r="B20" s="544"/>
      <c r="C20" s="526"/>
      <c r="D20" s="218" t="s">
        <v>153</v>
      </c>
      <c r="E20" s="1">
        <v>6.4000000000000001E-2</v>
      </c>
      <c r="F20" s="254">
        <v>-6.4000000000000001E-2</v>
      </c>
      <c r="G20" s="147">
        <f>E20+F20+I19</f>
        <v>0</v>
      </c>
      <c r="H20" s="1"/>
      <c r="I20" s="148">
        <f t="shared" si="0"/>
        <v>0</v>
      </c>
      <c r="J20" s="274">
        <v>0</v>
      </c>
      <c r="K20" s="515"/>
      <c r="L20" s="516"/>
      <c r="M20" s="517"/>
      <c r="N20" s="517"/>
      <c r="O20" s="518"/>
      <c r="P20" s="542"/>
    </row>
    <row r="21" spans="1:29" s="159" customFormat="1" x14ac:dyDescent="0.25">
      <c r="B21" s="544"/>
      <c r="C21" s="513" t="s">
        <v>427</v>
      </c>
      <c r="D21" s="218" t="s">
        <v>428</v>
      </c>
      <c r="E21" s="1">
        <v>0</v>
      </c>
      <c r="F21" s="254"/>
      <c r="G21" s="147">
        <f t="shared" si="24"/>
        <v>0</v>
      </c>
      <c r="H21" s="1"/>
      <c r="I21" s="148">
        <f t="shared" si="0"/>
        <v>0</v>
      </c>
      <c r="J21" s="274">
        <v>0</v>
      </c>
      <c r="K21" s="515">
        <f>E21+E22</f>
        <v>0</v>
      </c>
      <c r="L21" s="516">
        <f>F21+F22</f>
        <v>0.247</v>
      </c>
      <c r="M21" s="517">
        <f t="shared" ref="M21" si="30">K21+L21</f>
        <v>0.247</v>
      </c>
      <c r="N21" s="517">
        <f>H21+H22</f>
        <v>0</v>
      </c>
      <c r="O21" s="518">
        <f t="shared" ref="O21" si="31">M21-N21</f>
        <v>0.247</v>
      </c>
      <c r="P21" s="519">
        <f t="shared" si="27"/>
        <v>0</v>
      </c>
    </row>
    <row r="22" spans="1:29" s="159" customFormat="1" x14ac:dyDescent="0.25">
      <c r="B22" s="544"/>
      <c r="C22" s="514"/>
      <c r="D22" s="218" t="s">
        <v>153</v>
      </c>
      <c r="E22" s="1">
        <v>0</v>
      </c>
      <c r="F22" s="254">
        <f>0.247</f>
        <v>0.247</v>
      </c>
      <c r="G22" s="147">
        <f>E22+F22+I21</f>
        <v>0.247</v>
      </c>
      <c r="H22" s="1"/>
      <c r="I22" s="148">
        <f t="shared" si="0"/>
        <v>0.247</v>
      </c>
      <c r="J22" s="274">
        <v>0</v>
      </c>
      <c r="K22" s="515"/>
      <c r="L22" s="516"/>
      <c r="M22" s="517"/>
      <c r="N22" s="517"/>
      <c r="O22" s="518"/>
      <c r="P22" s="519"/>
    </row>
    <row r="23" spans="1:29" s="159" customFormat="1" ht="16.5" customHeight="1" x14ac:dyDescent="0.25">
      <c r="A23" s="153"/>
      <c r="B23" s="544"/>
      <c r="C23" s="526" t="s">
        <v>170</v>
      </c>
      <c r="D23" s="218" t="s">
        <v>144</v>
      </c>
      <c r="E23" s="147">
        <v>3.5000000000000003E-2</v>
      </c>
      <c r="F23" s="254">
        <v>-3.5000000000000003E-2</v>
      </c>
      <c r="G23" s="147">
        <f t="shared" si="24"/>
        <v>0</v>
      </c>
      <c r="H23" s="1"/>
      <c r="I23" s="148">
        <f t="shared" si="0"/>
        <v>0</v>
      </c>
      <c r="J23" s="274">
        <v>0</v>
      </c>
      <c r="K23" s="515">
        <f>E23+E24</f>
        <v>9.9000000000000005E-2</v>
      </c>
      <c r="L23" s="516">
        <f t="shared" ref="L23" si="32">F23+F24</f>
        <v>-9.9000000000000005E-2</v>
      </c>
      <c r="M23" s="517">
        <f t="shared" ref="M23" si="33">K23+L23</f>
        <v>0</v>
      </c>
      <c r="N23" s="517">
        <f t="shared" ref="N23" si="34">H23+H24</f>
        <v>0</v>
      </c>
      <c r="O23" s="518">
        <f t="shared" ref="O23" si="35">M23-N23</f>
        <v>0</v>
      </c>
      <c r="P23" s="542">
        <v>0</v>
      </c>
    </row>
    <row r="24" spans="1:29" s="159" customFormat="1" ht="15.75" thickBot="1" x14ac:dyDescent="0.3">
      <c r="A24" s="153"/>
      <c r="B24" s="545"/>
      <c r="C24" s="527"/>
      <c r="D24" s="219" t="s">
        <v>153</v>
      </c>
      <c r="E24" s="149">
        <v>6.4000000000000001E-2</v>
      </c>
      <c r="F24" s="311">
        <v>-6.4000000000000001E-2</v>
      </c>
      <c r="G24" s="149">
        <f t="shared" ref="G24" si="36">E24+F24+I23</f>
        <v>0</v>
      </c>
      <c r="H24" s="149"/>
      <c r="I24" s="150">
        <f t="shared" si="0"/>
        <v>0</v>
      </c>
      <c r="J24" s="275">
        <v>0</v>
      </c>
      <c r="K24" s="528"/>
      <c r="L24" s="551"/>
      <c r="M24" s="529"/>
      <c r="N24" s="529"/>
      <c r="O24" s="530"/>
      <c r="P24" s="558"/>
    </row>
    <row r="25" spans="1:29" s="159" customFormat="1" x14ac:dyDescent="0.25">
      <c r="B25" s="163"/>
      <c r="C25" s="164"/>
      <c r="D25" s="165"/>
      <c r="E25" s="165"/>
      <c r="F25" s="166">
        <f>SUM(F7:F24)</f>
        <v>8028.9259999999995</v>
      </c>
      <c r="G25" s="165"/>
      <c r="H25" s="165"/>
      <c r="I25" s="166"/>
      <c r="J25" s="167"/>
      <c r="K25" s="165"/>
      <c r="L25" s="165"/>
      <c r="M25" s="165"/>
      <c r="N25" s="165"/>
      <c r="O25" s="165"/>
      <c r="P25" s="167"/>
    </row>
    <row r="26" spans="1:29" s="159" customFormat="1" hidden="1" x14ac:dyDescent="0.25">
      <c r="B26" s="163"/>
      <c r="C26" s="164"/>
      <c r="D26" s="165"/>
      <c r="E26" s="165"/>
      <c r="F26" s="165"/>
      <c r="G26" s="165"/>
      <c r="H26" s="165"/>
      <c r="I26" s="166"/>
      <c r="J26" s="167">
        <v>1</v>
      </c>
      <c r="K26" s="165"/>
      <c r="L26" s="165"/>
      <c r="M26" s="165"/>
      <c r="N26" s="165"/>
      <c r="O26" s="165"/>
      <c r="P26" s="167"/>
    </row>
    <row r="27" spans="1:29" s="159" customFormat="1" ht="50.1" customHeight="1" thickBot="1" x14ac:dyDescent="0.3">
      <c r="B27" s="163"/>
      <c r="C27" s="164"/>
      <c r="D27" s="165"/>
      <c r="E27" s="165"/>
      <c r="F27" s="165"/>
      <c r="G27" s="165"/>
      <c r="H27" s="165"/>
      <c r="I27" s="166"/>
      <c r="J27" s="167"/>
      <c r="K27" s="165"/>
      <c r="L27" s="165"/>
      <c r="M27" s="165"/>
      <c r="N27" s="165"/>
      <c r="O27" s="165"/>
      <c r="P27" s="167"/>
    </row>
    <row r="28" spans="1:29" s="159" customFormat="1" x14ac:dyDescent="0.25">
      <c r="A28" s="153"/>
      <c r="B28" s="559" t="s">
        <v>179</v>
      </c>
      <c r="C28" s="520" t="s">
        <v>180</v>
      </c>
      <c r="D28" s="520" t="s">
        <v>180</v>
      </c>
      <c r="E28" s="522" t="s">
        <v>176</v>
      </c>
      <c r="F28" s="522"/>
      <c r="G28" s="522"/>
      <c r="H28" s="522" t="s">
        <v>177</v>
      </c>
      <c r="I28" s="522"/>
      <c r="J28" s="523"/>
      <c r="K28" s="524" t="s">
        <v>178</v>
      </c>
      <c r="L28" s="522"/>
      <c r="M28" s="522"/>
      <c r="N28" s="522"/>
      <c r="O28" s="522"/>
      <c r="P28" s="525"/>
    </row>
    <row r="29" spans="1:29" s="159" customFormat="1" ht="59.25" customHeight="1" thickBot="1" x14ac:dyDescent="0.3">
      <c r="A29" s="153"/>
      <c r="B29" s="560"/>
      <c r="C29" s="521"/>
      <c r="D29" s="521"/>
      <c r="E29" s="213" t="s">
        <v>185</v>
      </c>
      <c r="F29" s="213" t="s">
        <v>181</v>
      </c>
      <c r="G29" s="213" t="s">
        <v>6</v>
      </c>
      <c r="H29" s="214" t="s">
        <v>149</v>
      </c>
      <c r="I29" s="214" t="s">
        <v>150</v>
      </c>
      <c r="J29" s="272" t="s">
        <v>182</v>
      </c>
      <c r="K29" s="276" t="s">
        <v>183</v>
      </c>
      <c r="L29" s="214" t="s">
        <v>181</v>
      </c>
      <c r="M29" s="214" t="s">
        <v>6</v>
      </c>
      <c r="N29" s="214" t="s">
        <v>149</v>
      </c>
      <c r="O29" s="215" t="s">
        <v>150</v>
      </c>
      <c r="P29" s="216" t="s">
        <v>182</v>
      </c>
    </row>
    <row r="30" spans="1:29" s="159" customFormat="1" x14ac:dyDescent="0.25">
      <c r="A30" s="153"/>
      <c r="B30" s="543" t="s">
        <v>201</v>
      </c>
      <c r="C30" s="554" t="s">
        <v>143</v>
      </c>
      <c r="D30" s="220" t="s">
        <v>144</v>
      </c>
      <c r="E30" s="154">
        <v>321.76299999999998</v>
      </c>
      <c r="F30" s="224"/>
      <c r="G30" s="154">
        <f>E30+F30</f>
        <v>321.76299999999998</v>
      </c>
      <c r="H30" s="224"/>
      <c r="I30" s="154">
        <f>G30-H30</f>
        <v>321.76299999999998</v>
      </c>
      <c r="J30" s="277">
        <f>H30/G30</f>
        <v>0</v>
      </c>
      <c r="K30" s="555">
        <f>E30+E31</f>
        <v>919.36400000000003</v>
      </c>
      <c r="L30" s="556">
        <f>F30+F31</f>
        <v>-261.03399999999999</v>
      </c>
      <c r="M30" s="556">
        <f>K30+L30</f>
        <v>658.33</v>
      </c>
      <c r="N30" s="556">
        <f>H30+H31</f>
        <v>653.755</v>
      </c>
      <c r="O30" s="557">
        <f>M30-N30</f>
        <v>4.5750000000000455</v>
      </c>
      <c r="P30" s="553">
        <f>N30/M30</f>
        <v>0.9930505977245454</v>
      </c>
      <c r="S30" s="546" t="s">
        <v>145</v>
      </c>
      <c r="T30" s="548" t="s">
        <v>146</v>
      </c>
      <c r="U30" s="532" t="s">
        <v>147</v>
      </c>
      <c r="V30" s="550" t="s">
        <v>148</v>
      </c>
      <c r="W30" s="550"/>
      <c r="X30" s="550"/>
      <c r="Y30" s="550"/>
      <c r="Z30" s="532" t="s">
        <v>149</v>
      </c>
      <c r="AA30" s="532" t="s">
        <v>150</v>
      </c>
      <c r="AB30" s="532" t="s">
        <v>151</v>
      </c>
      <c r="AC30" s="534" t="s">
        <v>152</v>
      </c>
    </row>
    <row r="31" spans="1:29" s="159" customFormat="1" x14ac:dyDescent="0.25">
      <c r="A31" s="153"/>
      <c r="B31" s="544"/>
      <c r="C31" s="526"/>
      <c r="D31" s="218" t="s">
        <v>153</v>
      </c>
      <c r="E31" s="147">
        <v>597.601</v>
      </c>
      <c r="F31" s="1">
        <f>-600+137.116+14.766+14.1+4.431+4.5+0.6+146+1.287+2+14.166</f>
        <v>-261.03399999999999</v>
      </c>
      <c r="G31" s="147">
        <f>E31+F31+I30</f>
        <v>658.32999999999993</v>
      </c>
      <c r="H31" s="1">
        <v>653.755</v>
      </c>
      <c r="I31" s="147">
        <f t="shared" ref="I31:I39" si="37">G31-H31</f>
        <v>4.5749999999999318</v>
      </c>
      <c r="J31" s="274">
        <f>H31/G31</f>
        <v>0.99305059772454551</v>
      </c>
      <c r="K31" s="515"/>
      <c r="L31" s="517"/>
      <c r="M31" s="517"/>
      <c r="N31" s="517"/>
      <c r="O31" s="518"/>
      <c r="P31" s="519"/>
      <c r="S31" s="547"/>
      <c r="T31" s="549"/>
      <c r="U31" s="533"/>
      <c r="V31" s="162" t="s">
        <v>154</v>
      </c>
      <c r="W31" s="162" t="s">
        <v>155</v>
      </c>
      <c r="X31" s="162" t="s">
        <v>156</v>
      </c>
      <c r="Y31" s="162" t="s">
        <v>157</v>
      </c>
      <c r="Z31" s="533"/>
      <c r="AA31" s="533"/>
      <c r="AB31" s="533"/>
      <c r="AC31" s="535"/>
    </row>
    <row r="32" spans="1:29" s="159" customFormat="1" x14ac:dyDescent="0.25">
      <c r="A32" s="153"/>
      <c r="B32" s="544"/>
      <c r="C32" s="526" t="s">
        <v>158</v>
      </c>
      <c r="D32" s="218" t="s">
        <v>144</v>
      </c>
      <c r="E32" s="147">
        <v>0.621</v>
      </c>
      <c r="F32" s="1"/>
      <c r="G32" s="147">
        <f>E32+F32</f>
        <v>0.621</v>
      </c>
      <c r="H32" s="1"/>
      <c r="I32" s="147">
        <f t="shared" si="37"/>
        <v>0.621</v>
      </c>
      <c r="J32" s="274">
        <f t="shared" ref="J32:J39" si="38">H32/G32</f>
        <v>0</v>
      </c>
      <c r="K32" s="515">
        <f>E32+E33</f>
        <v>1.7749999999999999</v>
      </c>
      <c r="L32" s="517">
        <f t="shared" ref="L32" si="39">F32+F33</f>
        <v>0</v>
      </c>
      <c r="M32" s="517">
        <f t="shared" ref="M32" si="40">K32+L32</f>
        <v>1.7749999999999999</v>
      </c>
      <c r="N32" s="517">
        <f t="shared" ref="N32" si="41">H32+H33</f>
        <v>3.3000000000000002E-2</v>
      </c>
      <c r="O32" s="518">
        <f t="shared" ref="O32" si="42">M32-N32</f>
        <v>1.742</v>
      </c>
      <c r="P32" s="519">
        <f t="shared" ref="P32" si="43">N32/M32</f>
        <v>1.859154929577465E-2</v>
      </c>
      <c r="S32" s="536" t="s">
        <v>171</v>
      </c>
      <c r="T32" s="538" t="s">
        <v>172</v>
      </c>
      <c r="U32" s="540">
        <v>3163</v>
      </c>
      <c r="V32" s="15" t="s">
        <v>161</v>
      </c>
      <c r="W32" s="16">
        <f>E30+E32+E34+E36+E38</f>
        <v>1107</v>
      </c>
      <c r="X32" s="16">
        <f t="shared" ref="X32:Z33" si="44">F30+F32+F34+F36+F38</f>
        <v>0</v>
      </c>
      <c r="Y32" s="16">
        <f>G30+G32+G34+G36+G38</f>
        <v>1107</v>
      </c>
      <c r="Z32" s="170">
        <f>H30+H32+H34+H36+H38</f>
        <v>0.86499999999999999</v>
      </c>
      <c r="AA32" s="17">
        <f>Y32-Z32</f>
        <v>1106.135</v>
      </c>
      <c r="AB32" s="172">
        <f>Z32/Y32</f>
        <v>7.8139114724480574E-4</v>
      </c>
      <c r="AC32" s="18"/>
    </row>
    <row r="33" spans="1:29" s="159" customFormat="1" ht="15.75" thickBot="1" x14ac:dyDescent="0.3">
      <c r="A33" s="153"/>
      <c r="B33" s="544"/>
      <c r="C33" s="526"/>
      <c r="D33" s="218" t="s">
        <v>153</v>
      </c>
      <c r="E33" s="1">
        <v>1.1539999999999999</v>
      </c>
      <c r="F33" s="1"/>
      <c r="G33" s="147">
        <f>E33+F33+I32</f>
        <v>1.7749999999999999</v>
      </c>
      <c r="H33" s="1">
        <v>3.3000000000000002E-2</v>
      </c>
      <c r="I33" s="147">
        <f t="shared" si="37"/>
        <v>1.742</v>
      </c>
      <c r="J33" s="274">
        <f t="shared" si="38"/>
        <v>1.859154929577465E-2</v>
      </c>
      <c r="K33" s="515"/>
      <c r="L33" s="517"/>
      <c r="M33" s="517"/>
      <c r="N33" s="517"/>
      <c r="O33" s="518"/>
      <c r="P33" s="519"/>
      <c r="S33" s="537"/>
      <c r="T33" s="539"/>
      <c r="U33" s="541"/>
      <c r="V33" s="19" t="s">
        <v>162</v>
      </c>
      <c r="W33" s="20">
        <f>E31+E33+E35+E37+E39</f>
        <v>2055.9989999999998</v>
      </c>
      <c r="X33" s="20">
        <f>F31+F33+F35+F37+F39</f>
        <v>-2151.9929999999999</v>
      </c>
      <c r="Y33" s="20">
        <f>G31+G33+G35+G37+G39</f>
        <v>1010.1409999999998</v>
      </c>
      <c r="Z33" s="171">
        <f t="shared" si="44"/>
        <v>976.1389999999999</v>
      </c>
      <c r="AA33" s="17">
        <f>Y33-Z33</f>
        <v>34.001999999999953</v>
      </c>
      <c r="AB33" s="173">
        <f t="shared" ref="AB33" si="45">Z33/Y33</f>
        <v>0.96633935262502957</v>
      </c>
      <c r="AC33" s="21"/>
    </row>
    <row r="34" spans="1:29" s="159" customFormat="1" x14ac:dyDescent="0.25">
      <c r="A34" s="153"/>
      <c r="B34" s="544"/>
      <c r="C34" s="526" t="s">
        <v>173</v>
      </c>
      <c r="D34" s="218" t="s">
        <v>144</v>
      </c>
      <c r="E34" s="147">
        <v>598.81799999999998</v>
      </c>
      <c r="F34" s="1"/>
      <c r="G34" s="147">
        <f>E34+F34</f>
        <v>598.81799999999998</v>
      </c>
      <c r="H34" s="1">
        <v>0.86499999999999999</v>
      </c>
      <c r="I34" s="147">
        <f t="shared" si="37"/>
        <v>597.95299999999997</v>
      </c>
      <c r="J34" s="274">
        <f t="shared" si="38"/>
        <v>1.4445123560080024E-3</v>
      </c>
      <c r="K34" s="515">
        <f>E34+E35</f>
        <v>1710.9849999999999</v>
      </c>
      <c r="L34" s="517">
        <f t="shared" ref="L34" si="46">F34+F35</f>
        <v>-1561.682</v>
      </c>
      <c r="M34" s="517">
        <f t="shared" ref="M34" si="47">K34+L34</f>
        <v>149.30299999999988</v>
      </c>
      <c r="N34" s="517">
        <f t="shared" ref="N34" si="48">H34+H35</f>
        <v>136.36699999999999</v>
      </c>
      <c r="O34" s="518">
        <f t="shared" ref="O34" si="49">M34-N34</f>
        <v>12.935999999999893</v>
      </c>
      <c r="P34" s="519">
        <f t="shared" ref="P34" si="50">N34/M34</f>
        <v>0.91335740072202232</v>
      </c>
      <c r="Z34" s="168">
        <f>SUM(Z32:Z33)</f>
        <v>977.00399999999991</v>
      </c>
    </row>
    <row r="35" spans="1:29" s="159" customFormat="1" x14ac:dyDescent="0.25">
      <c r="A35" s="153"/>
      <c r="B35" s="544"/>
      <c r="C35" s="526"/>
      <c r="D35" s="218" t="s">
        <v>153</v>
      </c>
      <c r="E35" s="147">
        <v>1112.1669999999999</v>
      </c>
      <c r="F35" s="1">
        <f>-1000-137.116-460+329.277-113.869-89.987-89.987</f>
        <v>-1561.682</v>
      </c>
      <c r="G35" s="147">
        <f>E35+F35+I34</f>
        <v>148.43799999999987</v>
      </c>
      <c r="H35" s="1">
        <f>0.171+135.331</f>
        <v>135.50199999999998</v>
      </c>
      <c r="I35" s="147">
        <f t="shared" si="37"/>
        <v>12.935999999999893</v>
      </c>
      <c r="J35" s="274">
        <f t="shared" si="38"/>
        <v>0.91285250407577634</v>
      </c>
      <c r="K35" s="515"/>
      <c r="L35" s="517"/>
      <c r="M35" s="517"/>
      <c r="N35" s="517"/>
      <c r="O35" s="518"/>
      <c r="P35" s="519"/>
    </row>
    <row r="36" spans="1:29" s="159" customFormat="1" x14ac:dyDescent="0.25">
      <c r="A36" s="153"/>
      <c r="B36" s="544"/>
      <c r="C36" s="526" t="s">
        <v>174</v>
      </c>
      <c r="D36" s="218" t="s">
        <v>144</v>
      </c>
      <c r="E36" s="1">
        <v>181.166</v>
      </c>
      <c r="F36" s="1"/>
      <c r="G36" s="147">
        <f t="shared" ref="G36" si="51">E36+F36</f>
        <v>181.166</v>
      </c>
      <c r="H36" s="1"/>
      <c r="I36" s="147">
        <f t="shared" si="37"/>
        <v>181.166</v>
      </c>
      <c r="J36" s="274">
        <f t="shared" si="38"/>
        <v>0</v>
      </c>
      <c r="K36" s="515">
        <f>E36+E37</f>
        <v>517.64100000000008</v>
      </c>
      <c r="L36" s="517">
        <f t="shared" ref="L36" si="52">F36+F37</f>
        <v>-329.27699999999999</v>
      </c>
      <c r="M36" s="517">
        <f t="shared" ref="M36" si="53">K36+L36</f>
        <v>188.36400000000009</v>
      </c>
      <c r="N36" s="517">
        <f t="shared" ref="N36" si="54">H36+H37</f>
        <v>186.84899999999999</v>
      </c>
      <c r="O36" s="518">
        <f t="shared" ref="O36" si="55">M36-N36</f>
        <v>1.5150000000001</v>
      </c>
      <c r="P36" s="519">
        <f t="shared" ref="P36" si="56">N36/M36</f>
        <v>0.99195706185895338</v>
      </c>
    </row>
    <row r="37" spans="1:29" s="159" customFormat="1" x14ac:dyDescent="0.25">
      <c r="A37" s="153"/>
      <c r="B37" s="544"/>
      <c r="C37" s="526"/>
      <c r="D37" s="218" t="s">
        <v>153</v>
      </c>
      <c r="E37" s="1">
        <v>336.47500000000002</v>
      </c>
      <c r="F37" s="1">
        <f>-329.277</f>
        <v>-329.27699999999999</v>
      </c>
      <c r="G37" s="147">
        <f t="shared" ref="G37" si="57">E37+F37+I36</f>
        <v>188.36400000000003</v>
      </c>
      <c r="H37" s="1">
        <f>186.849</f>
        <v>186.84899999999999</v>
      </c>
      <c r="I37" s="147">
        <f t="shared" si="37"/>
        <v>1.5150000000000432</v>
      </c>
      <c r="J37" s="274">
        <f t="shared" si="38"/>
        <v>0.99195706185895371</v>
      </c>
      <c r="K37" s="515"/>
      <c r="L37" s="517"/>
      <c r="M37" s="517"/>
      <c r="N37" s="517"/>
      <c r="O37" s="518"/>
      <c r="P37" s="519"/>
    </row>
    <row r="38" spans="1:29" s="159" customFormat="1" x14ac:dyDescent="0.25">
      <c r="A38" s="153"/>
      <c r="B38" s="544"/>
      <c r="C38" s="526" t="s">
        <v>175</v>
      </c>
      <c r="D38" s="218" t="s">
        <v>144</v>
      </c>
      <c r="E38" s="147">
        <v>4.6319999999999997</v>
      </c>
      <c r="F38" s="147"/>
      <c r="G38" s="147">
        <f t="shared" ref="G38" si="58">E38+F38</f>
        <v>4.6319999999999997</v>
      </c>
      <c r="H38" s="1"/>
      <c r="I38" s="147">
        <f t="shared" si="37"/>
        <v>4.6319999999999997</v>
      </c>
      <c r="J38" s="274">
        <f t="shared" si="38"/>
        <v>0</v>
      </c>
      <c r="K38" s="515">
        <f>E38+E39</f>
        <v>13.234</v>
      </c>
      <c r="L38" s="517">
        <f t="shared" ref="L38" si="59">F38+F39</f>
        <v>0</v>
      </c>
      <c r="M38" s="517">
        <f t="shared" ref="M38" si="60">K38+L38</f>
        <v>13.234</v>
      </c>
      <c r="N38" s="517">
        <f t="shared" ref="N38" si="61">H38+H39</f>
        <v>0</v>
      </c>
      <c r="O38" s="518">
        <f t="shared" ref="O38" si="62">M38-N38</f>
        <v>13.234</v>
      </c>
      <c r="P38" s="519">
        <f t="shared" ref="P38" si="63">N38/M38</f>
        <v>0</v>
      </c>
    </row>
    <row r="39" spans="1:29" s="159" customFormat="1" ht="15.75" thickBot="1" x14ac:dyDescent="0.3">
      <c r="A39" s="153"/>
      <c r="B39" s="545"/>
      <c r="C39" s="527"/>
      <c r="D39" s="219" t="s">
        <v>153</v>
      </c>
      <c r="E39" s="151">
        <v>8.6020000000000003</v>
      </c>
      <c r="F39" s="151"/>
      <c r="G39" s="151">
        <f t="shared" ref="G39" si="64">E39+F39+I38</f>
        <v>13.234</v>
      </c>
      <c r="H39" s="255"/>
      <c r="I39" s="151">
        <f t="shared" si="37"/>
        <v>13.234</v>
      </c>
      <c r="J39" s="275">
        <f t="shared" si="38"/>
        <v>0</v>
      </c>
      <c r="K39" s="528"/>
      <c r="L39" s="529"/>
      <c r="M39" s="529"/>
      <c r="N39" s="529"/>
      <c r="O39" s="530"/>
      <c r="P39" s="531"/>
    </row>
    <row r="40" spans="1:29" s="159" customFormat="1" x14ac:dyDescent="0.25">
      <c r="C40" s="158"/>
      <c r="F40" s="159">
        <f>SUM(F30:F39)</f>
        <v>-2151.9929999999999</v>
      </c>
      <c r="H40" s="155"/>
      <c r="J40" s="156"/>
      <c r="P40" s="156"/>
    </row>
    <row r="41" spans="1:29" s="159" customFormat="1" hidden="1" x14ac:dyDescent="0.25">
      <c r="C41" s="158"/>
      <c r="J41" s="199">
        <v>1</v>
      </c>
      <c r="O41" s="160"/>
      <c r="P41" s="161"/>
    </row>
  </sheetData>
  <mergeCells count="136">
    <mergeCell ref="B2:P2"/>
    <mergeCell ref="B3:P3"/>
    <mergeCell ref="D5:D6"/>
    <mergeCell ref="C5:C6"/>
    <mergeCell ref="B5:B6"/>
    <mergeCell ref="O13:O14"/>
    <mergeCell ref="P13:P14"/>
    <mergeCell ref="P7:P8"/>
    <mergeCell ref="C9:C10"/>
    <mergeCell ref="K9:K10"/>
    <mergeCell ref="L9:L10"/>
    <mergeCell ref="M9:M10"/>
    <mergeCell ref="N9:N10"/>
    <mergeCell ref="O9:O10"/>
    <mergeCell ref="P9:P10"/>
    <mergeCell ref="C7:C8"/>
    <mergeCell ref="K7:K8"/>
    <mergeCell ref="L7:L8"/>
    <mergeCell ref="M7:M8"/>
    <mergeCell ref="N7:N8"/>
    <mergeCell ref="O7:O8"/>
    <mergeCell ref="C11:C12"/>
    <mergeCell ref="K11:K12"/>
    <mergeCell ref="L11:L12"/>
    <mergeCell ref="M11:M12"/>
    <mergeCell ref="P15:P16"/>
    <mergeCell ref="C17:C18"/>
    <mergeCell ref="K17:K18"/>
    <mergeCell ref="L17:L18"/>
    <mergeCell ref="M17:M18"/>
    <mergeCell ref="N17:N18"/>
    <mergeCell ref="O17:O18"/>
    <mergeCell ref="P17:P18"/>
    <mergeCell ref="C15:C16"/>
    <mergeCell ref="K15:K16"/>
    <mergeCell ref="L15:L16"/>
    <mergeCell ref="M15:M16"/>
    <mergeCell ref="N15:N16"/>
    <mergeCell ref="O15:O16"/>
    <mergeCell ref="E5:G5"/>
    <mergeCell ref="H5:J5"/>
    <mergeCell ref="K5:P5"/>
    <mergeCell ref="B7:B24"/>
    <mergeCell ref="O19:O20"/>
    <mergeCell ref="P30:P31"/>
    <mergeCell ref="C32:C33"/>
    <mergeCell ref="K32:K33"/>
    <mergeCell ref="L32:L33"/>
    <mergeCell ref="M32:M33"/>
    <mergeCell ref="N32:N33"/>
    <mergeCell ref="O32:O33"/>
    <mergeCell ref="P32:P33"/>
    <mergeCell ref="C30:C31"/>
    <mergeCell ref="K30:K31"/>
    <mergeCell ref="L30:L31"/>
    <mergeCell ref="M30:M31"/>
    <mergeCell ref="N30:N31"/>
    <mergeCell ref="O30:O31"/>
    <mergeCell ref="O23:O24"/>
    <mergeCell ref="P23:P24"/>
    <mergeCell ref="C23:C24"/>
    <mergeCell ref="B28:B29"/>
    <mergeCell ref="C28:C29"/>
    <mergeCell ref="AB7:AB8"/>
    <mergeCell ref="AC7:AC8"/>
    <mergeCell ref="S9:S10"/>
    <mergeCell ref="T9:T10"/>
    <mergeCell ref="U9:U10"/>
    <mergeCell ref="C19:C20"/>
    <mergeCell ref="K19:K20"/>
    <mergeCell ref="L19:L20"/>
    <mergeCell ref="M19:M20"/>
    <mergeCell ref="N19:N20"/>
    <mergeCell ref="S7:S8"/>
    <mergeCell ref="T7:T8"/>
    <mergeCell ref="U7:U8"/>
    <mergeCell ref="V7:Y7"/>
    <mergeCell ref="Z7:Z8"/>
    <mergeCell ref="AA7:AA8"/>
    <mergeCell ref="N11:N12"/>
    <mergeCell ref="O11:O12"/>
    <mergeCell ref="P11:P12"/>
    <mergeCell ref="C13:C14"/>
    <mergeCell ref="K13:K14"/>
    <mergeCell ref="L13:L14"/>
    <mergeCell ref="M13:M14"/>
    <mergeCell ref="N13:N14"/>
    <mergeCell ref="AB30:AB31"/>
    <mergeCell ref="AC30:AC31"/>
    <mergeCell ref="S32:S33"/>
    <mergeCell ref="T32:T33"/>
    <mergeCell ref="U32:U33"/>
    <mergeCell ref="P19:P20"/>
    <mergeCell ref="B30:B39"/>
    <mergeCell ref="S30:S31"/>
    <mergeCell ref="T30:T31"/>
    <mergeCell ref="U30:U31"/>
    <mergeCell ref="V30:Y30"/>
    <mergeCell ref="C36:C37"/>
    <mergeCell ref="K36:K37"/>
    <mergeCell ref="L36:L37"/>
    <mergeCell ref="M36:M37"/>
    <mergeCell ref="N34:N35"/>
    <mergeCell ref="O34:O35"/>
    <mergeCell ref="P34:P35"/>
    <mergeCell ref="K23:K24"/>
    <mergeCell ref="L23:L24"/>
    <mergeCell ref="M23:M24"/>
    <mergeCell ref="N23:N24"/>
    <mergeCell ref="C34:C35"/>
    <mergeCell ref="K34:K35"/>
    <mergeCell ref="C38:C39"/>
    <mergeCell ref="K38:K39"/>
    <mergeCell ref="L38:L39"/>
    <mergeCell ref="M38:M39"/>
    <mergeCell ref="N38:N39"/>
    <mergeCell ref="O38:O39"/>
    <mergeCell ref="P38:P39"/>
    <mergeCell ref="Z30:Z31"/>
    <mergeCell ref="AA30:AA31"/>
    <mergeCell ref="L34:L35"/>
    <mergeCell ref="M34:M35"/>
    <mergeCell ref="N36:N37"/>
    <mergeCell ref="C21:C22"/>
    <mergeCell ref="K21:K22"/>
    <mergeCell ref="L21:L22"/>
    <mergeCell ref="M21:M22"/>
    <mergeCell ref="N21:N22"/>
    <mergeCell ref="O21:O22"/>
    <mergeCell ref="P21:P22"/>
    <mergeCell ref="O36:O37"/>
    <mergeCell ref="P36:P37"/>
    <mergeCell ref="D28:D29"/>
    <mergeCell ref="E28:G28"/>
    <mergeCell ref="H28:J28"/>
    <mergeCell ref="K28:P28"/>
  </mergeCells>
  <conditionalFormatting sqref="O30:O41 O4:O27">
    <cfRule type="cellIs" dxfId="7" priority="18" operator="lessThan">
      <formula>0</formula>
    </cfRule>
  </conditionalFormatting>
  <conditionalFormatting sqref="AB9:AB10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{F92721E9-BDF4-44BB-83EF-19BE5BE620F6}</x14:id>
        </ext>
      </extLst>
    </cfRule>
  </conditionalFormatting>
  <conditionalFormatting sqref="AB7:AB10">
    <cfRule type="dataBar" priority="26">
      <dataBar>
        <cfvo type="min"/>
        <cfvo type="max"/>
        <color rgb="FFFFB628"/>
      </dataBar>
    </cfRule>
  </conditionalFormatting>
  <conditionalFormatting sqref="AB32:AB33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{D9B10F9B-DFC0-439B-8A0A-6C8399C078BD}</x14:id>
        </ext>
      </extLst>
    </cfRule>
  </conditionalFormatting>
  <conditionalFormatting sqref="AB30:AB33">
    <cfRule type="dataBar" priority="24">
      <dataBar>
        <cfvo type="min"/>
        <cfvo type="max"/>
        <color rgb="FFFFB628"/>
      </dataBar>
    </cfRule>
  </conditionalFormatting>
  <conditionalFormatting sqref="P25:P27 P40 J30:J41 J7:J27">
    <cfRule type="dataBar" priority="23">
      <dataBar>
        <cfvo type="min"/>
        <cfvo type="max"/>
        <color rgb="FF63C384"/>
      </dataBar>
    </cfRule>
  </conditionalFormatting>
  <conditionalFormatting sqref="P40">
    <cfRule type="dataBar" priority="21">
      <dataBar>
        <cfvo type="min"/>
        <cfvo type="max"/>
        <color rgb="FF63C384"/>
      </dataBar>
    </cfRule>
  </conditionalFormatting>
  <conditionalFormatting sqref="P30:P41 P7:P27">
    <cfRule type="dataBar" priority="35">
      <dataBar>
        <cfvo type="min"/>
        <cfvo type="max"/>
        <color rgb="FF63C384"/>
      </dataBar>
    </cfRule>
  </conditionalFormatting>
  <conditionalFormatting sqref="J7:J24">
    <cfRule type="cellIs" dxfId="6" priority="9" operator="greaterThan">
      <formula>0.9</formula>
    </cfRule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{0CE20C1C-1051-44AA-A5CF-686066FDB25B}</x14:id>
        </ext>
      </extLst>
    </cfRule>
  </conditionalFormatting>
  <conditionalFormatting sqref="J30:J39">
    <cfRule type="cellIs" dxfId="5" priority="8" operator="greaterThan">
      <formula>0.9</formula>
    </cfRule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{527EFA0E-3E9A-4651-8B8F-9FD00C5D8591}</x14:id>
        </ext>
      </extLst>
    </cfRule>
  </conditionalFormatting>
  <conditionalFormatting sqref="P7:P24">
    <cfRule type="cellIs" dxfId="4" priority="7" operator="greaterThan">
      <formula>0.9</formula>
    </cfRule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{5FC89C58-7358-4384-9888-3F4CE90D6128}</x14:id>
        </ext>
      </extLst>
    </cfRule>
  </conditionalFormatting>
  <conditionalFormatting sqref="P30:P39">
    <cfRule type="cellIs" dxfId="3" priority="6" operator="greaterThan">
      <formula>0.9</formula>
    </cfRule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{DAA13460-91A7-4F31-A3BD-013B088169CB}</x14:id>
        </ext>
      </extLst>
    </cfRule>
  </conditionalFormatting>
  <conditionalFormatting sqref="O28">
    <cfRule type="cellIs" dxfId="2" priority="13" operator="lessThan">
      <formula>0</formula>
    </cfRule>
  </conditionalFormatting>
  <conditionalFormatting sqref="O29">
    <cfRule type="cellIs" dxfId="1" priority="12" operator="lessThan">
      <formula>0</formula>
    </cfRule>
  </conditionalFormatting>
  <conditionalFormatting sqref="J7:J26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{BC050E29-9A74-4170-8F63-274F160344DB}</x14:id>
        </ext>
      </extLst>
    </cfRule>
  </conditionalFormatting>
  <conditionalFormatting sqref="J30:J41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{DF7BD5B8-8247-4DB6-AF43-F3544F2576DC}</x14:id>
        </ext>
      </extLst>
    </cfRule>
  </conditionalFormatting>
  <conditionalFormatting sqref="P30:P40 J41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{023328DF-D027-49C7-88E8-2C26C4EBF6B4}</x14:id>
        </ext>
      </extLst>
    </cfRule>
  </conditionalFormatting>
  <conditionalFormatting sqref="P7:P25 J41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{3428C6FF-BA16-47BB-BB66-210E8E1F5445}</x14:id>
        </ext>
      </extLst>
    </cfRule>
  </conditionalFormatting>
  <conditionalFormatting sqref="AB9:AB10 AD7 AB32:AB3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{0CD1215A-A3CB-42D5-90D4-94E31D8E1629}</x14:id>
        </ext>
      </extLst>
    </cfRule>
  </conditionalFormatting>
  <pageMargins left="0.7" right="0.7" top="0.75" bottom="0.75" header="0.3" footer="0.3"/>
  <pageSetup paperSize="172" orientation="portrait" r:id="rId1"/>
  <ignoredErrors>
    <ignoredError sqref="G8:G10 G23:G24 G13:G20" 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2721E9-BDF4-44BB-83EF-19BE5BE620F6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FFB628"/>
            </x14:dataBar>
          </x14:cfRule>
          <xm:sqref>AB9:AB10</xm:sqref>
        </x14:conditionalFormatting>
        <x14:conditionalFormatting xmlns:xm="http://schemas.microsoft.com/office/excel/2006/main">
          <x14:cfRule type="dataBar" id="{D9B10F9B-DFC0-439B-8A0A-6C8399C078BD}">
            <x14:dataBar border="1" negativeBarColorSameAsPositive="1" negativeBarBorderColorSameAsPositive="0" axisPosition="none">
              <x14:cfvo type="min"/>
              <x14:cfvo type="max"/>
              <x14:borderColor rgb="FF008AEF"/>
              <x14:negativeBorderColor rgb="FFFFB628"/>
            </x14:dataBar>
          </x14:cfRule>
          <xm:sqref>AB32:AB33</xm:sqref>
        </x14:conditionalFormatting>
        <x14:conditionalFormatting xmlns:xm="http://schemas.microsoft.com/office/excel/2006/main">
          <x14:cfRule type="dataBar" id="{0CE20C1C-1051-44AA-A5CF-686066FDB2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J7:J24</xm:sqref>
        </x14:conditionalFormatting>
        <x14:conditionalFormatting xmlns:xm="http://schemas.microsoft.com/office/excel/2006/main">
          <x14:cfRule type="dataBar" id="{527EFA0E-3E9A-4651-8B8F-9FD00C5D859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J30:J39</xm:sqref>
        </x14:conditionalFormatting>
        <x14:conditionalFormatting xmlns:xm="http://schemas.microsoft.com/office/excel/2006/main">
          <x14:cfRule type="dataBar" id="{5FC89C58-7358-4384-9888-3F4CE90D612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P7:P24</xm:sqref>
        </x14:conditionalFormatting>
        <x14:conditionalFormatting xmlns:xm="http://schemas.microsoft.com/office/excel/2006/main">
          <x14:cfRule type="dataBar" id="{DAA13460-91A7-4F31-A3BD-013B088169C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P30:P39</xm:sqref>
        </x14:conditionalFormatting>
        <x14:conditionalFormatting xmlns:xm="http://schemas.microsoft.com/office/excel/2006/main">
          <x14:cfRule type="dataBar" id="{BC050E29-9A74-4170-8F63-274F160344D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J7:J26</xm:sqref>
        </x14:conditionalFormatting>
        <x14:conditionalFormatting xmlns:xm="http://schemas.microsoft.com/office/excel/2006/main">
          <x14:cfRule type="dataBar" id="{DF7BD5B8-8247-4DB6-AF43-F3544F2576D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J30:J41</xm:sqref>
        </x14:conditionalFormatting>
        <x14:conditionalFormatting xmlns:xm="http://schemas.microsoft.com/office/excel/2006/main">
          <x14:cfRule type="dataBar" id="{023328DF-D027-49C7-88E8-2C26C4EBF6B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P30:P40 J41</xm:sqref>
        </x14:conditionalFormatting>
        <x14:conditionalFormatting xmlns:xm="http://schemas.microsoft.com/office/excel/2006/main">
          <x14:cfRule type="dataBar" id="{3428C6FF-BA16-47BB-BB66-210E8E1F54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P7:P25 J41</xm:sqref>
        </x14:conditionalFormatting>
        <x14:conditionalFormatting xmlns:xm="http://schemas.microsoft.com/office/excel/2006/main">
          <x14:cfRule type="dataBar" id="{0CD1215A-A3CB-42D5-90D4-94E31D8E162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AB9:AB10 AD7 AB32:AB33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B1:K10"/>
  <sheetViews>
    <sheetView showGridLines="0" topLeftCell="B1" zoomScale="80" zoomScaleNormal="80" workbookViewId="0">
      <selection activeCell="E8" sqref="E8"/>
    </sheetView>
  </sheetViews>
  <sheetFormatPr baseColWidth="10" defaultRowHeight="15" x14ac:dyDescent="0.25"/>
  <cols>
    <col min="1" max="1" width="47.85546875" style="178" customWidth="1"/>
    <col min="2" max="2" width="41" style="178" bestFit="1" customWidth="1"/>
    <col min="3" max="3" width="29.7109375" style="178" customWidth="1"/>
    <col min="4" max="4" width="11.42578125" style="178"/>
    <col min="5" max="5" width="16.7109375" style="178" customWidth="1"/>
    <col min="6" max="7" width="11.42578125" style="178"/>
    <col min="8" max="8" width="21" style="178" bestFit="1" customWidth="1"/>
    <col min="9" max="9" width="11.42578125" style="178"/>
    <col min="10" max="10" width="14.42578125" style="178" customWidth="1"/>
    <col min="11" max="11" width="36.85546875" style="178" customWidth="1"/>
    <col min="12" max="16384" width="11.42578125" style="178"/>
  </cols>
  <sheetData>
    <row r="1" spans="2:11" s="177" customFormat="1" ht="20.100000000000001" customHeight="1" thickBot="1" x14ac:dyDescent="0.3"/>
    <row r="2" spans="2:11" s="177" customFormat="1" ht="20.100000000000001" customHeight="1" x14ac:dyDescent="0.25">
      <c r="B2" s="478" t="s">
        <v>198</v>
      </c>
      <c r="C2" s="479"/>
      <c r="D2" s="479"/>
      <c r="E2" s="479"/>
      <c r="F2" s="479"/>
      <c r="G2" s="479"/>
      <c r="H2" s="479"/>
      <c r="I2" s="479"/>
      <c r="J2" s="479"/>
      <c r="K2" s="480"/>
    </row>
    <row r="3" spans="2:11" s="177" customFormat="1" ht="19.899999999999999" customHeight="1" thickBot="1" x14ac:dyDescent="0.3">
      <c r="B3" s="440">
        <v>43465</v>
      </c>
      <c r="C3" s="441"/>
      <c r="D3" s="441"/>
      <c r="E3" s="441"/>
      <c r="F3" s="441"/>
      <c r="G3" s="441"/>
      <c r="H3" s="441"/>
      <c r="I3" s="441"/>
      <c r="J3" s="441"/>
      <c r="K3" s="442"/>
    </row>
    <row r="4" spans="2:11" s="177" customFormat="1" ht="23.25" customHeight="1" x14ac:dyDescent="0.25"/>
    <row r="5" spans="2:11" s="177" customFormat="1" ht="19.5" customHeight="1" thickBot="1" x14ac:dyDescent="0.3"/>
    <row r="6" spans="2:11" s="177" customFormat="1" ht="20.100000000000001" customHeight="1" x14ac:dyDescent="0.25">
      <c r="B6" s="573" t="s">
        <v>145</v>
      </c>
      <c r="C6" s="575" t="s">
        <v>187</v>
      </c>
      <c r="D6" s="577" t="s">
        <v>154</v>
      </c>
      <c r="E6" s="579" t="s">
        <v>188</v>
      </c>
      <c r="F6" s="581" t="s">
        <v>189</v>
      </c>
      <c r="G6" s="582"/>
      <c r="H6" s="583" t="s">
        <v>190</v>
      </c>
      <c r="I6" s="585" t="s">
        <v>150</v>
      </c>
      <c r="J6" s="575" t="s">
        <v>191</v>
      </c>
      <c r="K6" s="569" t="s">
        <v>152</v>
      </c>
    </row>
    <row r="7" spans="2:11" s="177" customFormat="1" ht="20.100000000000001" customHeight="1" thickBot="1" x14ac:dyDescent="0.3">
      <c r="B7" s="574"/>
      <c r="C7" s="576"/>
      <c r="D7" s="578"/>
      <c r="E7" s="580"/>
      <c r="F7" s="221" t="s">
        <v>192</v>
      </c>
      <c r="G7" s="221" t="s">
        <v>193</v>
      </c>
      <c r="H7" s="584"/>
      <c r="I7" s="586"/>
      <c r="J7" s="576"/>
      <c r="K7" s="570"/>
    </row>
    <row r="8" spans="2:11" s="177" customFormat="1" ht="20.100000000000001" customHeight="1" thickBot="1" x14ac:dyDescent="0.3">
      <c r="B8" s="571" t="s">
        <v>194</v>
      </c>
      <c r="C8" s="222" t="s">
        <v>195</v>
      </c>
      <c r="D8" s="222" t="s">
        <v>196</v>
      </c>
      <c r="E8" s="174">
        <v>11</v>
      </c>
      <c r="F8" s="339">
        <v>9.5340000000000007</v>
      </c>
      <c r="G8" s="339">
        <v>4.0000000000000001E-3</v>
      </c>
      <c r="H8" s="317">
        <f>F8+G8</f>
        <v>9.5380000000000003</v>
      </c>
      <c r="I8" s="175">
        <f t="shared" ref="I8:I9" si="0">E8-H8</f>
        <v>1.4619999999999997</v>
      </c>
      <c r="J8" s="179">
        <f>H8/E8</f>
        <v>0.86709090909090913</v>
      </c>
      <c r="K8" s="180">
        <v>43111</v>
      </c>
    </row>
    <row r="9" spans="2:11" s="177" customFormat="1" ht="20.100000000000001" customHeight="1" thickBot="1" x14ac:dyDescent="0.3">
      <c r="B9" s="572"/>
      <c r="C9" s="222" t="s">
        <v>197</v>
      </c>
      <c r="D9" s="222" t="s">
        <v>196</v>
      </c>
      <c r="E9" s="174">
        <v>97</v>
      </c>
      <c r="F9" s="339">
        <v>87.652000000000001</v>
      </c>
      <c r="G9" s="339">
        <v>0</v>
      </c>
      <c r="H9" s="317">
        <f>F9+G9</f>
        <v>87.652000000000001</v>
      </c>
      <c r="I9" s="175">
        <f t="shared" si="0"/>
        <v>9.347999999999999</v>
      </c>
      <c r="J9" s="179">
        <f>H9/E9</f>
        <v>0.90362886597938141</v>
      </c>
      <c r="K9" s="176"/>
    </row>
    <row r="10" spans="2:11" hidden="1" x14ac:dyDescent="0.25">
      <c r="J10" s="181">
        <v>1</v>
      </c>
    </row>
  </sheetData>
  <mergeCells count="12">
    <mergeCell ref="K6:K7"/>
    <mergeCell ref="B8:B9"/>
    <mergeCell ref="B2:K2"/>
    <mergeCell ref="B3:K3"/>
    <mergeCell ref="B6:B7"/>
    <mergeCell ref="C6:C7"/>
    <mergeCell ref="D6:D7"/>
    <mergeCell ref="E6:E7"/>
    <mergeCell ref="F6:G6"/>
    <mergeCell ref="H6:H7"/>
    <mergeCell ref="I6:I7"/>
    <mergeCell ref="J6:J7"/>
  </mergeCells>
  <conditionalFormatting sqref="J8:J9">
    <cfRule type="cellIs" dxfId="0" priority="2" operator="greaterThan">
      <formula>0.9</formula>
    </cfRule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{6772C601-254D-48FC-95FE-0E7440E10395}</x14:id>
        </ext>
      </extLst>
    </cfRule>
  </conditionalFormatting>
  <conditionalFormatting sqref="J8:J10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{1BBBD9AC-3289-4A5B-8722-6EAD258700B4}</x14:id>
        </ext>
      </extLst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72C601-254D-48FC-95FE-0E7440E1039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J8:J9</xm:sqref>
        </x14:conditionalFormatting>
        <x14:conditionalFormatting xmlns:xm="http://schemas.microsoft.com/office/excel/2006/main">
          <x14:cfRule type="dataBar" id="{1BBBD9AC-3289-4A5B-8722-6EAD258700B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J8:J10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334"/>
  <sheetViews>
    <sheetView zoomScale="80" zoomScaleNormal="80" workbookViewId="0">
      <pane ySplit="1" topLeftCell="A2" activePane="bottomLeft" state="frozen"/>
      <selection pane="bottomLeft" activeCell="A21" sqref="A21"/>
    </sheetView>
  </sheetViews>
  <sheetFormatPr baseColWidth="10" defaultRowHeight="15" x14ac:dyDescent="0.25"/>
  <cols>
    <col min="1" max="1" width="33.42578125" style="236" bestFit="1" customWidth="1"/>
    <col min="2" max="2" width="18.42578125" style="236" bestFit="1" customWidth="1"/>
    <col min="3" max="3" width="15.28515625" style="236" bestFit="1" customWidth="1"/>
    <col min="4" max="4" width="30" style="236" bestFit="1" customWidth="1"/>
    <col min="5" max="5" width="60.85546875" style="236" bestFit="1" customWidth="1"/>
    <col min="6" max="6" width="13.28515625" style="236" bestFit="1" customWidth="1"/>
    <col min="7" max="7" width="12.7109375" style="236" bestFit="1" customWidth="1"/>
    <col min="8" max="8" width="9.85546875" style="236" bestFit="1" customWidth="1"/>
    <col min="9" max="9" width="19.85546875" style="236" bestFit="1" customWidth="1"/>
    <col min="10" max="10" width="13.85546875" style="236" bestFit="1" customWidth="1"/>
    <col min="11" max="11" width="13.5703125" style="236" bestFit="1" customWidth="1"/>
    <col min="12" max="12" width="10.28515625" style="236" bestFit="1" customWidth="1"/>
    <col min="13" max="13" width="15.85546875" style="237" bestFit="1" customWidth="1"/>
    <col min="14" max="14" width="11.28515625" style="262" bestFit="1" customWidth="1"/>
    <col min="15" max="15" width="11.28515625" style="236" bestFit="1" customWidth="1"/>
    <col min="16" max="16384" width="11.42578125" style="250"/>
  </cols>
  <sheetData>
    <row r="1" spans="1:15" s="249" customFormat="1" x14ac:dyDescent="0.25">
      <c r="A1" s="246" t="s">
        <v>205</v>
      </c>
      <c r="B1" s="246" t="s">
        <v>136</v>
      </c>
      <c r="C1" s="246" t="s">
        <v>146</v>
      </c>
      <c r="D1" s="246" t="s">
        <v>206</v>
      </c>
      <c r="E1" s="246" t="s">
        <v>207</v>
      </c>
      <c r="F1" s="246" t="s">
        <v>208</v>
      </c>
      <c r="G1" s="246" t="s">
        <v>209</v>
      </c>
      <c r="H1" s="246" t="s">
        <v>210</v>
      </c>
      <c r="I1" s="246" t="s">
        <v>211</v>
      </c>
      <c r="J1" s="246" t="s">
        <v>6</v>
      </c>
      <c r="K1" s="246" t="s">
        <v>212</v>
      </c>
      <c r="L1" s="246" t="s">
        <v>8</v>
      </c>
      <c r="M1" s="247" t="s">
        <v>213</v>
      </c>
      <c r="N1" s="246" t="s">
        <v>127</v>
      </c>
      <c r="O1" s="248" t="s">
        <v>214</v>
      </c>
    </row>
    <row r="2" spans="1:15" x14ac:dyDescent="0.25">
      <c r="A2" s="57" t="s">
        <v>282</v>
      </c>
      <c r="B2" s="57" t="s">
        <v>283</v>
      </c>
      <c r="C2" s="57" t="s">
        <v>284</v>
      </c>
      <c r="D2" s="57" t="s">
        <v>285</v>
      </c>
      <c r="E2" s="57" t="s">
        <v>411</v>
      </c>
      <c r="F2" s="57" t="s">
        <v>286</v>
      </c>
      <c r="G2" s="57" t="s">
        <v>286</v>
      </c>
      <c r="H2" s="57">
        <f>'Merluza sur Industrial'!E7</f>
        <v>220.85900000000001</v>
      </c>
      <c r="I2" s="57">
        <f>'Merluza sur Industrial'!F7</f>
        <v>3511.4539999999993</v>
      </c>
      <c r="J2" s="57">
        <f>'Merluza sur Industrial'!G7</f>
        <v>3732.3129999999992</v>
      </c>
      <c r="K2" s="57">
        <f>'Merluza sur Industrial'!H7</f>
        <v>0</v>
      </c>
      <c r="L2" s="57">
        <f>'Merluza sur Industrial'!I7</f>
        <v>3732.3129999999992</v>
      </c>
      <c r="M2" s="245">
        <f>'Merluza sur Industrial'!J7</f>
        <v>0</v>
      </c>
      <c r="N2" s="57" t="s">
        <v>410</v>
      </c>
      <c r="O2" s="278">
        <v>43465</v>
      </c>
    </row>
    <row r="3" spans="1:15" x14ac:dyDescent="0.25">
      <c r="A3" s="24" t="s">
        <v>282</v>
      </c>
      <c r="B3" s="24" t="s">
        <v>283</v>
      </c>
      <c r="C3" s="24" t="s">
        <v>284</v>
      </c>
      <c r="D3" s="24" t="s">
        <v>285</v>
      </c>
      <c r="E3" s="24" t="s">
        <v>411</v>
      </c>
      <c r="F3" s="24" t="s">
        <v>287</v>
      </c>
      <c r="G3" s="24" t="s">
        <v>288</v>
      </c>
      <c r="H3" s="24">
        <f>'Merluza sur Industrial'!E8</f>
        <v>410.09399999999999</v>
      </c>
      <c r="I3" s="24">
        <f>'Merluza sur Industrial'!F8</f>
        <v>830.33900000000006</v>
      </c>
      <c r="J3" s="24">
        <f>'Merluza sur Industrial'!G8</f>
        <v>4972.7459999999992</v>
      </c>
      <c r="K3" s="24">
        <f>'Merluza sur Industrial'!H8</f>
        <v>4968.1850000000004</v>
      </c>
      <c r="L3" s="24">
        <f>'Merluza sur Industrial'!I8</f>
        <v>4.5609999999987849</v>
      </c>
      <c r="M3" s="251">
        <f>'Merluza sur Industrial'!J8</f>
        <v>0.99908280052912435</v>
      </c>
      <c r="N3" s="24" t="s">
        <v>410</v>
      </c>
      <c r="O3" s="278">
        <v>43465</v>
      </c>
    </row>
    <row r="4" spans="1:15" x14ac:dyDescent="0.25">
      <c r="A4" s="24" t="s">
        <v>282</v>
      </c>
      <c r="B4" s="24" t="s">
        <v>283</v>
      </c>
      <c r="C4" s="24" t="s">
        <v>284</v>
      </c>
      <c r="D4" s="24" t="s">
        <v>285</v>
      </c>
      <c r="E4" s="24" t="s">
        <v>411</v>
      </c>
      <c r="F4" s="24" t="s">
        <v>286</v>
      </c>
      <c r="G4" s="24" t="s">
        <v>288</v>
      </c>
      <c r="H4" s="24">
        <f>'Merluza sur Industrial'!K7</f>
        <v>630.95299999999997</v>
      </c>
      <c r="I4" s="24">
        <f>'Merluza sur Industrial'!L7</f>
        <v>4341.7929999999997</v>
      </c>
      <c r="J4" s="24">
        <f>'Merluza sur Industrial'!M7</f>
        <v>4972.7459999999992</v>
      </c>
      <c r="K4" s="24">
        <f>'Merluza sur Industrial'!N7</f>
        <v>4968.1850000000004</v>
      </c>
      <c r="L4" s="24">
        <f>'Merluza sur Industrial'!O7</f>
        <v>4.5609999999987849</v>
      </c>
      <c r="M4" s="251">
        <f>'Merluza sur Industrial'!P7</f>
        <v>0.99908280052912435</v>
      </c>
      <c r="N4" s="24" t="s">
        <v>410</v>
      </c>
      <c r="O4" s="278">
        <v>43465</v>
      </c>
    </row>
    <row r="5" spans="1:15" x14ac:dyDescent="0.25">
      <c r="A5" s="24" t="s">
        <v>282</v>
      </c>
      <c r="B5" s="24" t="s">
        <v>283</v>
      </c>
      <c r="C5" s="24" t="s">
        <v>284</v>
      </c>
      <c r="D5" s="24" t="s">
        <v>285</v>
      </c>
      <c r="E5" s="24" t="s">
        <v>412</v>
      </c>
      <c r="F5" s="24" t="s">
        <v>286</v>
      </c>
      <c r="G5" s="24" t="s">
        <v>286</v>
      </c>
      <c r="H5" s="24">
        <f>'Merluza sur Industrial'!E9</f>
        <v>206.52699999999999</v>
      </c>
      <c r="I5" s="24">
        <f>'Merluza sur Industrial'!F9</f>
        <v>0</v>
      </c>
      <c r="J5" s="24">
        <f>'Merluza sur Industrial'!G9</f>
        <v>206.52699999999999</v>
      </c>
      <c r="K5" s="24">
        <f>'Merluza sur Industrial'!H9</f>
        <v>50.587000000000003</v>
      </c>
      <c r="L5" s="24">
        <f>'Merluza sur Industrial'!I9</f>
        <v>155.94</v>
      </c>
      <c r="M5" s="251">
        <f>'Merluza sur Industrial'!J9</f>
        <v>0.24494133938903875</v>
      </c>
      <c r="N5" s="24" t="s">
        <v>410</v>
      </c>
      <c r="O5" s="278">
        <v>43465</v>
      </c>
    </row>
    <row r="6" spans="1:15" x14ac:dyDescent="0.25">
      <c r="A6" s="24" t="s">
        <v>282</v>
      </c>
      <c r="B6" s="24" t="s">
        <v>283</v>
      </c>
      <c r="C6" s="24" t="s">
        <v>284</v>
      </c>
      <c r="D6" s="24" t="s">
        <v>285</v>
      </c>
      <c r="E6" s="24" t="s">
        <v>412</v>
      </c>
      <c r="F6" s="24" t="s">
        <v>287</v>
      </c>
      <c r="G6" s="24" t="s">
        <v>288</v>
      </c>
      <c r="H6" s="24">
        <f>'Merluza sur Industrial'!E10</f>
        <v>383.48099999999999</v>
      </c>
      <c r="I6" s="24">
        <f>'Merluza sur Industrial'!F10</f>
        <v>798.75000000000011</v>
      </c>
      <c r="J6" s="24">
        <f>'Merluza sur Industrial'!G10</f>
        <v>1338.1710000000003</v>
      </c>
      <c r="K6" s="24">
        <f>'Merluza sur Industrial'!H10</f>
        <v>1234.4179999999999</v>
      </c>
      <c r="L6" s="24">
        <f>'Merluza sur Industrial'!I10</f>
        <v>103.75300000000038</v>
      </c>
      <c r="M6" s="251">
        <f>'Merluza sur Industrial'!J10</f>
        <v>0.92246656070113586</v>
      </c>
      <c r="N6" s="24" t="s">
        <v>410</v>
      </c>
      <c r="O6" s="278">
        <v>43465</v>
      </c>
    </row>
    <row r="7" spans="1:15" x14ac:dyDescent="0.25">
      <c r="A7" s="24" t="s">
        <v>282</v>
      </c>
      <c r="B7" s="24" t="s">
        <v>283</v>
      </c>
      <c r="C7" s="24" t="s">
        <v>284</v>
      </c>
      <c r="D7" s="24" t="s">
        <v>285</v>
      </c>
      <c r="E7" s="24" t="s">
        <v>412</v>
      </c>
      <c r="F7" s="24" t="s">
        <v>286</v>
      </c>
      <c r="G7" s="24" t="s">
        <v>288</v>
      </c>
      <c r="H7" s="24">
        <f>'Merluza sur Industrial'!K9</f>
        <v>590.00800000000004</v>
      </c>
      <c r="I7" s="24">
        <f>'Merluza sur Industrial'!L9</f>
        <v>798.75000000000011</v>
      </c>
      <c r="J7" s="24">
        <f>'Merluza sur Industrial'!M9</f>
        <v>1388.7580000000003</v>
      </c>
      <c r="K7" s="24">
        <f>'Merluza sur Industrial'!N9</f>
        <v>1285.0049999999999</v>
      </c>
      <c r="L7" s="24">
        <f>'Merluza sur Industrial'!O9</f>
        <v>103.75300000000038</v>
      </c>
      <c r="M7" s="251">
        <f>'Merluza sur Industrial'!P9</f>
        <v>0.92529079940493564</v>
      </c>
      <c r="N7" s="24" t="s">
        <v>410</v>
      </c>
      <c r="O7" s="278">
        <v>43465</v>
      </c>
    </row>
    <row r="8" spans="1:15" x14ac:dyDescent="0.25">
      <c r="A8" s="24" t="s">
        <v>282</v>
      </c>
      <c r="B8" s="24" t="s">
        <v>283</v>
      </c>
      <c r="C8" s="24" t="s">
        <v>284</v>
      </c>
      <c r="D8" s="24" t="s">
        <v>285</v>
      </c>
      <c r="E8" s="24" t="s">
        <v>413</v>
      </c>
      <c r="F8" s="24" t="s">
        <v>286</v>
      </c>
      <c r="G8" s="24" t="s">
        <v>286</v>
      </c>
      <c r="H8" s="24">
        <f>'Merluza sur Industrial'!E11</f>
        <v>379.53399999999999</v>
      </c>
      <c r="I8" s="24">
        <f>'Merluza sur Industrial'!F11</f>
        <v>113.967</v>
      </c>
      <c r="J8" s="24">
        <f>'Merluza sur Industrial'!G11</f>
        <v>493.50099999999998</v>
      </c>
      <c r="K8" s="24">
        <f>'Merluza sur Industrial'!H11</f>
        <v>1.9710000000000001</v>
      </c>
      <c r="L8" s="24">
        <f>'Merluza sur Industrial'!I11</f>
        <v>491.53</v>
      </c>
      <c r="M8" s="251">
        <f>'Merluza sur Industrial'!J11</f>
        <v>3.9939128796091603E-3</v>
      </c>
      <c r="N8" s="24" t="s">
        <v>410</v>
      </c>
      <c r="O8" s="278">
        <v>43465</v>
      </c>
    </row>
    <row r="9" spans="1:15" x14ac:dyDescent="0.25">
      <c r="A9" s="24" t="s">
        <v>282</v>
      </c>
      <c r="B9" s="24" t="s">
        <v>283</v>
      </c>
      <c r="C9" s="24" t="s">
        <v>284</v>
      </c>
      <c r="D9" s="24" t="s">
        <v>285</v>
      </c>
      <c r="E9" s="24" t="s">
        <v>413</v>
      </c>
      <c r="F9" s="24" t="s">
        <v>287</v>
      </c>
      <c r="G9" s="24" t="s">
        <v>288</v>
      </c>
      <c r="H9" s="24">
        <f>'Merluza sur Industrial'!E12</f>
        <v>704.72400000000005</v>
      </c>
      <c r="I9" s="24">
        <f>'Merluza sur Industrial'!F12</f>
        <v>2596.3580000000002</v>
      </c>
      <c r="J9" s="24">
        <f>'Merluza sur Industrial'!G12</f>
        <v>3792.6120000000001</v>
      </c>
      <c r="K9" s="24">
        <f>'Merluza sur Industrial'!H12</f>
        <v>3792.6119999999996</v>
      </c>
      <c r="L9" s="24">
        <f>'Merluza sur Industrial'!I12</f>
        <v>0</v>
      </c>
      <c r="M9" s="251">
        <f>'Merluza sur Industrial'!J12</f>
        <v>0.99999999999999989</v>
      </c>
      <c r="N9" s="24" t="s">
        <v>410</v>
      </c>
      <c r="O9" s="278">
        <v>43465</v>
      </c>
    </row>
    <row r="10" spans="1:15" x14ac:dyDescent="0.25">
      <c r="A10" s="24" t="s">
        <v>282</v>
      </c>
      <c r="B10" s="24" t="s">
        <v>283</v>
      </c>
      <c r="C10" s="24" t="s">
        <v>284</v>
      </c>
      <c r="D10" s="24" t="s">
        <v>285</v>
      </c>
      <c r="E10" s="24" t="s">
        <v>413</v>
      </c>
      <c r="F10" s="24" t="s">
        <v>286</v>
      </c>
      <c r="G10" s="24" t="s">
        <v>288</v>
      </c>
      <c r="H10" s="24">
        <f>'Merluza sur Industrial'!K11</f>
        <v>1084.258</v>
      </c>
      <c r="I10" s="24">
        <f>'Merluza sur Industrial'!L11</f>
        <v>2710.3250000000003</v>
      </c>
      <c r="J10" s="24">
        <f>'Merluza sur Industrial'!M11</f>
        <v>3794.5830000000005</v>
      </c>
      <c r="K10" s="24">
        <f>'Merluza sur Industrial'!N11</f>
        <v>3794.5829999999996</v>
      </c>
      <c r="L10" s="24">
        <f>'Merluza sur Industrial'!O11</f>
        <v>0</v>
      </c>
      <c r="M10" s="251">
        <f>'Merluza sur Industrial'!P11</f>
        <v>0.99999999999999978</v>
      </c>
      <c r="N10" s="24" t="s">
        <v>410</v>
      </c>
      <c r="O10" s="278">
        <v>43465</v>
      </c>
    </row>
    <row r="11" spans="1:15" x14ac:dyDescent="0.25">
      <c r="A11" s="24" t="s">
        <v>282</v>
      </c>
      <c r="B11" s="24" t="s">
        <v>283</v>
      </c>
      <c r="C11" s="24" t="s">
        <v>284</v>
      </c>
      <c r="D11" s="24" t="s">
        <v>285</v>
      </c>
      <c r="E11" s="24" t="s">
        <v>414</v>
      </c>
      <c r="F11" s="24" t="s">
        <v>286</v>
      </c>
      <c r="G11" s="24" t="s">
        <v>286</v>
      </c>
      <c r="H11" s="24">
        <f>'Merluza sur Industrial'!E13</f>
        <v>51.43</v>
      </c>
      <c r="I11" s="24">
        <f>'Merluza sur Industrial'!F13</f>
        <v>0</v>
      </c>
      <c r="J11" s="24">
        <f>'Merluza sur Industrial'!G13</f>
        <v>51.43</v>
      </c>
      <c r="K11" s="24">
        <f>'Merluza sur Industrial'!H13</f>
        <v>0</v>
      </c>
      <c r="L11" s="24">
        <f>'Merluza sur Industrial'!I13</f>
        <v>51.43</v>
      </c>
      <c r="M11" s="251">
        <f>'Merluza sur Industrial'!J13</f>
        <v>0</v>
      </c>
      <c r="N11" s="24" t="s">
        <v>410</v>
      </c>
      <c r="O11" s="278">
        <v>43465</v>
      </c>
    </row>
    <row r="12" spans="1:15" x14ac:dyDescent="0.25">
      <c r="A12" s="24" t="s">
        <v>282</v>
      </c>
      <c r="B12" s="24" t="s">
        <v>283</v>
      </c>
      <c r="C12" s="24" t="s">
        <v>284</v>
      </c>
      <c r="D12" s="24" t="s">
        <v>285</v>
      </c>
      <c r="E12" s="24" t="s">
        <v>414</v>
      </c>
      <c r="F12" s="24" t="s">
        <v>287</v>
      </c>
      <c r="G12" s="24" t="s">
        <v>288</v>
      </c>
      <c r="H12" s="24">
        <f>'Merluza sur Industrial'!E14</f>
        <v>95.497</v>
      </c>
      <c r="I12" s="24">
        <f>'Merluza sur Industrial'!F14</f>
        <v>-80.123000000000005</v>
      </c>
      <c r="J12" s="24">
        <f>'Merluza sur Industrial'!G14</f>
        <v>66.804000000000002</v>
      </c>
      <c r="K12" s="24">
        <f>'Merluza sur Industrial'!H14</f>
        <v>66.804000000000002</v>
      </c>
      <c r="L12" s="24">
        <f>'Merluza sur Industrial'!I14</f>
        <v>0</v>
      </c>
      <c r="M12" s="251">
        <f>'Merluza sur Industrial'!J14</f>
        <v>1</v>
      </c>
      <c r="N12" s="24" t="s">
        <v>410</v>
      </c>
      <c r="O12" s="278">
        <v>43465</v>
      </c>
    </row>
    <row r="13" spans="1:15" x14ac:dyDescent="0.25">
      <c r="A13" s="24" t="s">
        <v>282</v>
      </c>
      <c r="B13" s="24" t="s">
        <v>283</v>
      </c>
      <c r="C13" s="24" t="s">
        <v>284</v>
      </c>
      <c r="D13" s="24" t="s">
        <v>285</v>
      </c>
      <c r="E13" s="24" t="s">
        <v>414</v>
      </c>
      <c r="F13" s="24" t="s">
        <v>286</v>
      </c>
      <c r="G13" s="24" t="s">
        <v>288</v>
      </c>
      <c r="H13" s="24">
        <f>'Merluza sur Industrial'!K13</f>
        <v>146.92699999999999</v>
      </c>
      <c r="I13" s="24">
        <f>'Merluza sur Industrial'!L13</f>
        <v>-80.123000000000005</v>
      </c>
      <c r="J13" s="24">
        <f>'Merluza sur Industrial'!M13</f>
        <v>66.803999999999988</v>
      </c>
      <c r="K13" s="24">
        <f>'Merluza sur Industrial'!N13</f>
        <v>66.804000000000002</v>
      </c>
      <c r="L13" s="24">
        <f>'Merluza sur Industrial'!O13</f>
        <v>0</v>
      </c>
      <c r="M13" s="251">
        <f>'Merluza sur Industrial'!P13</f>
        <v>1.0000000000000002</v>
      </c>
      <c r="N13" s="24" t="s">
        <v>410</v>
      </c>
      <c r="O13" s="278">
        <v>43465</v>
      </c>
    </row>
    <row r="14" spans="1:15" x14ac:dyDescent="0.25">
      <c r="A14" s="24" t="s">
        <v>282</v>
      </c>
      <c r="B14" s="24" t="s">
        <v>283</v>
      </c>
      <c r="C14" s="24" t="s">
        <v>284</v>
      </c>
      <c r="D14" s="24" t="s">
        <v>285</v>
      </c>
      <c r="E14" s="24" t="s">
        <v>415</v>
      </c>
      <c r="F14" s="24" t="s">
        <v>286</v>
      </c>
      <c r="G14" s="24" t="s">
        <v>286</v>
      </c>
      <c r="H14" s="24">
        <f>'Merluza sur Industrial'!E15</f>
        <v>873.49400000000003</v>
      </c>
      <c r="I14" s="24">
        <f>'Merluza sur Industrial'!F15</f>
        <v>1288.9319999999998</v>
      </c>
      <c r="J14" s="24">
        <f>'Merluza sur Industrial'!G15</f>
        <v>2162.4259999999999</v>
      </c>
      <c r="K14" s="24">
        <f>'Merluza sur Industrial'!H15</f>
        <v>135.89599999999999</v>
      </c>
      <c r="L14" s="24">
        <f>'Merluza sur Industrial'!I15</f>
        <v>2026.53</v>
      </c>
      <c r="M14" s="251">
        <f>'Merluza sur Industrial'!J15</f>
        <v>6.2844231432659423E-2</v>
      </c>
      <c r="N14" s="24" t="s">
        <v>410</v>
      </c>
      <c r="O14" s="278">
        <v>43465</v>
      </c>
    </row>
    <row r="15" spans="1:15" x14ac:dyDescent="0.25">
      <c r="A15" s="24" t="s">
        <v>282</v>
      </c>
      <c r="B15" s="24" t="s">
        <v>283</v>
      </c>
      <c r="C15" s="24" t="s">
        <v>284</v>
      </c>
      <c r="D15" s="24" t="s">
        <v>285</v>
      </c>
      <c r="E15" s="24" t="s">
        <v>415</v>
      </c>
      <c r="F15" s="24" t="s">
        <v>287</v>
      </c>
      <c r="G15" s="24" t="s">
        <v>288</v>
      </c>
      <c r="H15" s="24">
        <f>'Merluza sur Industrial'!E16</f>
        <v>1621.914</v>
      </c>
      <c r="I15" s="24">
        <f>'Merluza sur Industrial'!F16</f>
        <v>-1030.5529999999999</v>
      </c>
      <c r="J15" s="24">
        <f>'Merluza sur Industrial'!G16</f>
        <v>2617.8910000000001</v>
      </c>
      <c r="K15" s="24">
        <f>'Merluza sur Industrial'!H16</f>
        <v>2555.8449999999998</v>
      </c>
      <c r="L15" s="24">
        <f>'Merluza sur Industrial'!I16</f>
        <v>62.046000000000276</v>
      </c>
      <c r="M15" s="251">
        <f>'Merluza sur Industrial'!J16</f>
        <v>0.97629924240543231</v>
      </c>
      <c r="N15" s="24" t="s">
        <v>410</v>
      </c>
      <c r="O15" s="278">
        <v>43465</v>
      </c>
    </row>
    <row r="16" spans="1:15" x14ac:dyDescent="0.25">
      <c r="A16" s="24" t="s">
        <v>282</v>
      </c>
      <c r="B16" s="24" t="s">
        <v>283</v>
      </c>
      <c r="C16" s="24" t="s">
        <v>284</v>
      </c>
      <c r="D16" s="24" t="s">
        <v>285</v>
      </c>
      <c r="E16" s="24" t="s">
        <v>415</v>
      </c>
      <c r="F16" s="24" t="s">
        <v>286</v>
      </c>
      <c r="G16" s="24" t="s">
        <v>288</v>
      </c>
      <c r="H16" s="24">
        <f>'Merluza sur Industrial'!K15</f>
        <v>2495.4079999999999</v>
      </c>
      <c r="I16" s="24">
        <f>'Merluza sur Industrial'!L15</f>
        <v>258.37899999999991</v>
      </c>
      <c r="J16" s="24">
        <f>'Merluza sur Industrial'!M15</f>
        <v>2753.7869999999998</v>
      </c>
      <c r="K16" s="24">
        <f>'Merluza sur Industrial'!N15</f>
        <v>2691.741</v>
      </c>
      <c r="L16" s="24">
        <f>'Merluza sur Industrial'!O15</f>
        <v>62.045999999999822</v>
      </c>
      <c r="M16" s="251">
        <f>'Merluza sur Industrial'!P15</f>
        <v>0.97746884562967296</v>
      </c>
      <c r="N16" s="24" t="s">
        <v>410</v>
      </c>
      <c r="O16" s="278">
        <v>43465</v>
      </c>
    </row>
    <row r="17" spans="1:15" x14ac:dyDescent="0.25">
      <c r="A17" s="24" t="s">
        <v>282</v>
      </c>
      <c r="B17" s="24" t="s">
        <v>283</v>
      </c>
      <c r="C17" s="24" t="s">
        <v>284</v>
      </c>
      <c r="D17" s="24" t="s">
        <v>285</v>
      </c>
      <c r="E17" s="24" t="s">
        <v>416</v>
      </c>
      <c r="F17" s="24" t="s">
        <v>286</v>
      </c>
      <c r="G17" s="24" t="s">
        <v>286</v>
      </c>
      <c r="H17" s="24">
        <f>'Merluza sur Industrial'!E17</f>
        <v>8.6999999999999994E-2</v>
      </c>
      <c r="I17" s="24">
        <f>'Merluza sur Industrial'!F17</f>
        <v>0</v>
      </c>
      <c r="J17" s="24">
        <f>'Merluza sur Industrial'!G17</f>
        <v>8.6999999999999994E-2</v>
      </c>
      <c r="K17" s="24">
        <f>'Merluza sur Industrial'!H17</f>
        <v>0</v>
      </c>
      <c r="L17" s="24">
        <f>'Merluza sur Industrial'!I17</f>
        <v>8.6999999999999994E-2</v>
      </c>
      <c r="M17" s="251">
        <f>'Merluza sur Industrial'!J17</f>
        <v>0</v>
      </c>
      <c r="N17" s="24" t="s">
        <v>410</v>
      </c>
      <c r="O17" s="278">
        <v>43465</v>
      </c>
    </row>
    <row r="18" spans="1:15" x14ac:dyDescent="0.25">
      <c r="A18" s="24" t="s">
        <v>282</v>
      </c>
      <c r="B18" s="24" t="s">
        <v>283</v>
      </c>
      <c r="C18" s="24" t="s">
        <v>284</v>
      </c>
      <c r="D18" s="24" t="s">
        <v>285</v>
      </c>
      <c r="E18" s="24" t="s">
        <v>416</v>
      </c>
      <c r="F18" s="24" t="s">
        <v>287</v>
      </c>
      <c r="G18" s="24" t="s">
        <v>288</v>
      </c>
      <c r="H18" s="24">
        <f>'Merluza sur Industrial'!E18</f>
        <v>0.161</v>
      </c>
      <c r="I18" s="24">
        <f>'Merluza sur Industrial'!F18</f>
        <v>-0.247</v>
      </c>
      <c r="J18" s="24">
        <f>'Merluza sur Industrial'!G18</f>
        <v>1.0000000000000009E-3</v>
      </c>
      <c r="K18" s="24">
        <f>'Merluza sur Industrial'!H18</f>
        <v>0</v>
      </c>
      <c r="L18" s="24">
        <f>'Merluza sur Industrial'!I18</f>
        <v>1.0000000000000009E-3</v>
      </c>
      <c r="M18" s="251">
        <f>'Merluza sur Industrial'!J18</f>
        <v>0</v>
      </c>
      <c r="N18" s="24" t="s">
        <v>410</v>
      </c>
      <c r="O18" s="278">
        <v>43465</v>
      </c>
    </row>
    <row r="19" spans="1:15" x14ac:dyDescent="0.25">
      <c r="A19" s="24" t="s">
        <v>282</v>
      </c>
      <c r="B19" s="24" t="s">
        <v>283</v>
      </c>
      <c r="C19" s="24" t="s">
        <v>284</v>
      </c>
      <c r="D19" s="24" t="s">
        <v>285</v>
      </c>
      <c r="E19" s="24" t="s">
        <v>416</v>
      </c>
      <c r="F19" s="24" t="s">
        <v>286</v>
      </c>
      <c r="G19" s="24" t="s">
        <v>288</v>
      </c>
      <c r="H19" s="24">
        <f>'Merluza sur Industrial'!K17</f>
        <v>0.248</v>
      </c>
      <c r="I19" s="24">
        <f>'Merluza sur Industrial'!L17</f>
        <v>-0.247</v>
      </c>
      <c r="J19" s="24">
        <f>'Merluza sur Industrial'!M17</f>
        <v>1.0000000000000009E-3</v>
      </c>
      <c r="K19" s="24">
        <f>'Merluza sur Industrial'!N17</f>
        <v>0</v>
      </c>
      <c r="L19" s="24">
        <f>'Merluza sur Industrial'!O17</f>
        <v>1.0000000000000009E-3</v>
      </c>
      <c r="M19" s="251">
        <f>'Merluza sur Industrial'!P17</f>
        <v>0</v>
      </c>
      <c r="N19" s="24" t="s">
        <v>410</v>
      </c>
      <c r="O19" s="278">
        <v>43465</v>
      </c>
    </row>
    <row r="20" spans="1:15" x14ac:dyDescent="0.25">
      <c r="A20" s="24" t="s">
        <v>282</v>
      </c>
      <c r="B20" s="24" t="s">
        <v>283</v>
      </c>
      <c r="C20" s="24" t="s">
        <v>284</v>
      </c>
      <c r="D20" s="24" t="s">
        <v>285</v>
      </c>
      <c r="E20" s="24" t="s">
        <v>289</v>
      </c>
      <c r="F20" s="24" t="s">
        <v>286</v>
      </c>
      <c r="G20" s="24" t="s">
        <v>286</v>
      </c>
      <c r="H20" s="24">
        <f>'Merluza sur Industrial'!E19</f>
        <v>3.5000000000000003E-2</v>
      </c>
      <c r="I20" s="24">
        <f>'Merluza sur Industrial'!F19</f>
        <v>-3.5000000000000003E-2</v>
      </c>
      <c r="J20" s="24">
        <f>'Merluza sur Industrial'!G19</f>
        <v>0</v>
      </c>
      <c r="K20" s="24">
        <f>'Merluza sur Industrial'!H19</f>
        <v>0</v>
      </c>
      <c r="L20" s="24">
        <f>'Merluza sur Industrial'!I19</f>
        <v>0</v>
      </c>
      <c r="M20" s="251">
        <f>'Merluza sur Industrial'!J19</f>
        <v>0</v>
      </c>
      <c r="N20" s="24" t="s">
        <v>410</v>
      </c>
      <c r="O20" s="278">
        <v>43465</v>
      </c>
    </row>
    <row r="21" spans="1:15" x14ac:dyDescent="0.25">
      <c r="A21" s="24" t="s">
        <v>282</v>
      </c>
      <c r="B21" s="24" t="s">
        <v>283</v>
      </c>
      <c r="C21" s="24" t="s">
        <v>284</v>
      </c>
      <c r="D21" s="24" t="s">
        <v>285</v>
      </c>
      <c r="E21" s="24" t="s">
        <v>289</v>
      </c>
      <c r="F21" s="24" t="s">
        <v>287</v>
      </c>
      <c r="G21" s="24" t="s">
        <v>288</v>
      </c>
      <c r="H21" s="24">
        <f>'Merluza sur Industrial'!E20</f>
        <v>6.4000000000000001E-2</v>
      </c>
      <c r="I21" s="24">
        <f>'Merluza sur Industrial'!F20</f>
        <v>-6.4000000000000001E-2</v>
      </c>
      <c r="J21" s="24">
        <f>'Merluza sur Industrial'!G20</f>
        <v>0</v>
      </c>
      <c r="K21" s="24">
        <f>'Merluza sur Industrial'!H20</f>
        <v>0</v>
      </c>
      <c r="L21" s="24">
        <f>'Merluza sur Industrial'!I20</f>
        <v>0</v>
      </c>
      <c r="M21" s="251">
        <f>'Merluza sur Industrial'!J20</f>
        <v>0</v>
      </c>
      <c r="N21" s="24" t="s">
        <v>410</v>
      </c>
      <c r="O21" s="278">
        <v>43465</v>
      </c>
    </row>
    <row r="22" spans="1:15" x14ac:dyDescent="0.25">
      <c r="A22" s="24" t="s">
        <v>282</v>
      </c>
      <c r="B22" s="24" t="s">
        <v>283</v>
      </c>
      <c r="C22" s="24" t="s">
        <v>284</v>
      </c>
      <c r="D22" s="24" t="s">
        <v>285</v>
      </c>
      <c r="E22" s="24" t="s">
        <v>289</v>
      </c>
      <c r="F22" s="24" t="s">
        <v>286</v>
      </c>
      <c r="G22" s="24" t="s">
        <v>288</v>
      </c>
      <c r="H22" s="24">
        <f>'Merluza sur Industrial'!K19</f>
        <v>9.9000000000000005E-2</v>
      </c>
      <c r="I22" s="24">
        <f>'Merluza sur Industrial'!L19</f>
        <v>-9.9000000000000005E-2</v>
      </c>
      <c r="J22" s="24">
        <f>'Merluza sur Industrial'!M19</f>
        <v>0</v>
      </c>
      <c r="K22" s="24">
        <f>'Merluza sur Industrial'!N19</f>
        <v>0</v>
      </c>
      <c r="L22" s="24">
        <f>'Merluza sur Industrial'!O19</f>
        <v>0</v>
      </c>
      <c r="M22" s="251">
        <f>'Merluza sur Industrial'!P19</f>
        <v>0</v>
      </c>
      <c r="N22" s="24" t="s">
        <v>410</v>
      </c>
      <c r="O22" s="278">
        <v>43465</v>
      </c>
    </row>
    <row r="23" spans="1:15" x14ac:dyDescent="0.25">
      <c r="A23" s="24" t="s">
        <v>282</v>
      </c>
      <c r="B23" s="24" t="s">
        <v>283</v>
      </c>
      <c r="C23" s="24" t="s">
        <v>284</v>
      </c>
      <c r="D23" s="24" t="s">
        <v>285</v>
      </c>
      <c r="E23" s="24" t="s">
        <v>290</v>
      </c>
      <c r="F23" s="24" t="s">
        <v>286</v>
      </c>
      <c r="G23" s="24" t="s">
        <v>286</v>
      </c>
      <c r="H23" s="24">
        <f>'Merluza sur Industrial'!E23</f>
        <v>3.5000000000000003E-2</v>
      </c>
      <c r="I23" s="24">
        <f>'Merluza sur Industrial'!F23</f>
        <v>-3.5000000000000003E-2</v>
      </c>
      <c r="J23" s="24">
        <f>'Merluza sur Industrial'!G23</f>
        <v>0</v>
      </c>
      <c r="K23" s="24">
        <f>'Merluza sur Industrial'!H23</f>
        <v>0</v>
      </c>
      <c r="L23" s="24">
        <f>'Merluza sur Industrial'!I23</f>
        <v>0</v>
      </c>
      <c r="M23" s="251">
        <f>'Merluza sur Industrial'!J23</f>
        <v>0</v>
      </c>
      <c r="N23" s="24" t="s">
        <v>410</v>
      </c>
      <c r="O23" s="278">
        <v>43465</v>
      </c>
    </row>
    <row r="24" spans="1:15" x14ac:dyDescent="0.25">
      <c r="A24" s="24" t="s">
        <v>282</v>
      </c>
      <c r="B24" s="24" t="s">
        <v>283</v>
      </c>
      <c r="C24" s="24" t="s">
        <v>284</v>
      </c>
      <c r="D24" s="24" t="s">
        <v>285</v>
      </c>
      <c r="E24" s="24" t="s">
        <v>290</v>
      </c>
      <c r="F24" s="24" t="s">
        <v>287</v>
      </c>
      <c r="G24" s="24" t="s">
        <v>288</v>
      </c>
      <c r="H24" s="24">
        <f>'Merluza sur Industrial'!E24</f>
        <v>6.4000000000000001E-2</v>
      </c>
      <c r="I24" s="24">
        <f>'Merluza sur Industrial'!F24</f>
        <v>-6.4000000000000001E-2</v>
      </c>
      <c r="J24" s="24">
        <f>'Merluza sur Industrial'!G24</f>
        <v>0</v>
      </c>
      <c r="K24" s="24">
        <f>'Merluza sur Industrial'!H24</f>
        <v>0</v>
      </c>
      <c r="L24" s="24">
        <f>'Merluza sur Industrial'!I24</f>
        <v>0</v>
      </c>
      <c r="M24" s="251">
        <f>'Merluza sur Industrial'!J24</f>
        <v>0</v>
      </c>
      <c r="N24" s="24" t="s">
        <v>410</v>
      </c>
      <c r="O24" s="278">
        <v>43465</v>
      </c>
    </row>
    <row r="25" spans="1:15" x14ac:dyDescent="0.25">
      <c r="A25" s="24" t="s">
        <v>282</v>
      </c>
      <c r="B25" s="24" t="s">
        <v>283</v>
      </c>
      <c r="C25" s="24" t="s">
        <v>284</v>
      </c>
      <c r="D25" s="24" t="s">
        <v>285</v>
      </c>
      <c r="E25" s="24" t="s">
        <v>290</v>
      </c>
      <c r="F25" s="24" t="s">
        <v>286</v>
      </c>
      <c r="G25" s="24" t="s">
        <v>288</v>
      </c>
      <c r="H25" s="24">
        <f>'Merluza sur Industrial'!K23</f>
        <v>9.9000000000000005E-2</v>
      </c>
      <c r="I25" s="24">
        <f>'Merluza sur Industrial'!L23</f>
        <v>-9.9000000000000005E-2</v>
      </c>
      <c r="J25" s="24">
        <f>'Merluza sur Industrial'!M23</f>
        <v>0</v>
      </c>
      <c r="K25" s="24">
        <f>'Merluza sur Industrial'!N23</f>
        <v>0</v>
      </c>
      <c r="L25" s="24">
        <f>'Merluza sur Industrial'!O23</f>
        <v>0</v>
      </c>
      <c r="M25" s="251">
        <f>'Merluza sur Industrial'!P23</f>
        <v>0</v>
      </c>
      <c r="N25" s="24" t="s">
        <v>410</v>
      </c>
      <c r="O25" s="278">
        <v>43465</v>
      </c>
    </row>
    <row r="26" spans="1:15" x14ac:dyDescent="0.25">
      <c r="A26" s="24" t="s">
        <v>291</v>
      </c>
      <c r="B26" s="24" t="s">
        <v>283</v>
      </c>
      <c r="C26" s="24" t="s">
        <v>292</v>
      </c>
      <c r="D26" s="24" t="s">
        <v>285</v>
      </c>
      <c r="E26" s="24" t="s">
        <v>411</v>
      </c>
      <c r="F26" s="24" t="s">
        <v>286</v>
      </c>
      <c r="G26" s="24" t="s">
        <v>286</v>
      </c>
      <c r="H26" s="24">
        <f>'Merluza sur Industrial'!E30</f>
        <v>321.76299999999998</v>
      </c>
      <c r="I26" s="24">
        <f>'Merluza sur Industrial'!F30</f>
        <v>0</v>
      </c>
      <c r="J26" s="24">
        <f>'Merluza sur Industrial'!G30</f>
        <v>321.76299999999998</v>
      </c>
      <c r="K26" s="24">
        <f>'Merluza sur Industrial'!H30</f>
        <v>0</v>
      </c>
      <c r="L26" s="24">
        <f>'Merluza sur Industrial'!I30</f>
        <v>321.76299999999998</v>
      </c>
      <c r="M26" s="251">
        <f>'Merluza sur Industrial'!J30</f>
        <v>0</v>
      </c>
      <c r="N26" s="24" t="s">
        <v>410</v>
      </c>
      <c r="O26" s="278">
        <v>43465</v>
      </c>
    </row>
    <row r="27" spans="1:15" x14ac:dyDescent="0.25">
      <c r="A27" s="24" t="s">
        <v>291</v>
      </c>
      <c r="B27" s="24" t="s">
        <v>283</v>
      </c>
      <c r="C27" s="24" t="s">
        <v>292</v>
      </c>
      <c r="D27" s="24" t="s">
        <v>285</v>
      </c>
      <c r="E27" s="24" t="s">
        <v>411</v>
      </c>
      <c r="F27" s="24" t="s">
        <v>287</v>
      </c>
      <c r="G27" s="24" t="s">
        <v>288</v>
      </c>
      <c r="H27" s="24">
        <f>'Merluza sur Industrial'!E31</f>
        <v>597.601</v>
      </c>
      <c r="I27" s="24">
        <f>'Merluza sur Industrial'!F31</f>
        <v>-261.03399999999999</v>
      </c>
      <c r="J27" s="24">
        <f>'Merluza sur Industrial'!G31</f>
        <v>658.32999999999993</v>
      </c>
      <c r="K27" s="24">
        <f>'Merluza sur Industrial'!H31</f>
        <v>653.755</v>
      </c>
      <c r="L27" s="24">
        <f>'Merluza sur Industrial'!I31</f>
        <v>4.5749999999999318</v>
      </c>
      <c r="M27" s="251">
        <f>'Merluza sur Industrial'!J31</f>
        <v>0.99305059772454551</v>
      </c>
      <c r="N27" s="24" t="s">
        <v>410</v>
      </c>
      <c r="O27" s="278">
        <v>43465</v>
      </c>
    </row>
    <row r="28" spans="1:15" x14ac:dyDescent="0.25">
      <c r="A28" s="24" t="s">
        <v>291</v>
      </c>
      <c r="B28" s="24" t="s">
        <v>283</v>
      </c>
      <c r="C28" s="24" t="s">
        <v>292</v>
      </c>
      <c r="D28" s="24" t="s">
        <v>285</v>
      </c>
      <c r="E28" s="24" t="s">
        <v>411</v>
      </c>
      <c r="F28" s="24" t="s">
        <v>286</v>
      </c>
      <c r="G28" s="24" t="s">
        <v>288</v>
      </c>
      <c r="H28" s="24">
        <f>'Merluza sur Industrial'!K30</f>
        <v>919.36400000000003</v>
      </c>
      <c r="I28" s="24">
        <f>'Merluza sur Industrial'!L30</f>
        <v>-261.03399999999999</v>
      </c>
      <c r="J28" s="24">
        <f>'Merluza sur Industrial'!M30</f>
        <v>658.33</v>
      </c>
      <c r="K28" s="24">
        <f>'Merluza sur Industrial'!N30</f>
        <v>653.755</v>
      </c>
      <c r="L28" s="24">
        <f>'Merluza sur Industrial'!O30</f>
        <v>4.5750000000000455</v>
      </c>
      <c r="M28" s="251">
        <f>'Merluza sur Industrial'!P30</f>
        <v>0.9930505977245454</v>
      </c>
      <c r="N28" s="24" t="s">
        <v>410</v>
      </c>
      <c r="O28" s="278">
        <v>43465</v>
      </c>
    </row>
    <row r="29" spans="1:15" x14ac:dyDescent="0.25">
      <c r="A29" s="24" t="s">
        <v>291</v>
      </c>
      <c r="B29" s="24" t="s">
        <v>283</v>
      </c>
      <c r="C29" s="24" t="s">
        <v>292</v>
      </c>
      <c r="D29" s="24" t="s">
        <v>285</v>
      </c>
      <c r="E29" s="24" t="s">
        <v>417</v>
      </c>
      <c r="F29" s="24" t="s">
        <v>286</v>
      </c>
      <c r="G29" s="24" t="s">
        <v>286</v>
      </c>
      <c r="H29" s="24">
        <f>'Merluza sur Industrial'!E32</f>
        <v>0.621</v>
      </c>
      <c r="I29" s="24">
        <f>'Merluza sur Industrial'!F32</f>
        <v>0</v>
      </c>
      <c r="J29" s="24">
        <f>'Merluza sur Industrial'!G32</f>
        <v>0.621</v>
      </c>
      <c r="K29" s="24">
        <f>'Merluza sur Industrial'!H32</f>
        <v>0</v>
      </c>
      <c r="L29" s="24">
        <f>'Merluza sur Industrial'!I32</f>
        <v>0.621</v>
      </c>
      <c r="M29" s="251">
        <f>'Merluza sur Industrial'!J32</f>
        <v>0</v>
      </c>
      <c r="N29" s="24" t="s">
        <v>410</v>
      </c>
      <c r="O29" s="278">
        <v>43465</v>
      </c>
    </row>
    <row r="30" spans="1:15" x14ac:dyDescent="0.25">
      <c r="A30" s="24" t="s">
        <v>291</v>
      </c>
      <c r="B30" s="24" t="s">
        <v>283</v>
      </c>
      <c r="C30" s="24" t="s">
        <v>292</v>
      </c>
      <c r="D30" s="24" t="s">
        <v>285</v>
      </c>
      <c r="E30" s="24" t="s">
        <v>417</v>
      </c>
      <c r="F30" s="24" t="s">
        <v>287</v>
      </c>
      <c r="G30" s="24" t="s">
        <v>288</v>
      </c>
      <c r="H30" s="24">
        <f>'Merluza sur Industrial'!E33</f>
        <v>1.1539999999999999</v>
      </c>
      <c r="I30" s="24">
        <f>'Merluza sur Industrial'!F33</f>
        <v>0</v>
      </c>
      <c r="J30" s="24">
        <f>'Merluza sur Industrial'!G33</f>
        <v>1.7749999999999999</v>
      </c>
      <c r="K30" s="24">
        <f>'Merluza sur Industrial'!H33</f>
        <v>3.3000000000000002E-2</v>
      </c>
      <c r="L30" s="24">
        <f>'Merluza sur Industrial'!I33</f>
        <v>1.742</v>
      </c>
      <c r="M30" s="251">
        <f>'Merluza sur Industrial'!J33</f>
        <v>1.859154929577465E-2</v>
      </c>
      <c r="N30" s="24" t="s">
        <v>410</v>
      </c>
      <c r="O30" s="278">
        <v>43465</v>
      </c>
    </row>
    <row r="31" spans="1:15" x14ac:dyDescent="0.25">
      <c r="A31" s="24" t="s">
        <v>291</v>
      </c>
      <c r="B31" s="24" t="s">
        <v>283</v>
      </c>
      <c r="C31" s="24" t="s">
        <v>292</v>
      </c>
      <c r="D31" s="24" t="s">
        <v>285</v>
      </c>
      <c r="E31" s="24" t="s">
        <v>417</v>
      </c>
      <c r="F31" s="24" t="s">
        <v>286</v>
      </c>
      <c r="G31" s="24" t="s">
        <v>288</v>
      </c>
      <c r="H31" s="24">
        <f>'Merluza sur Industrial'!K32</f>
        <v>1.7749999999999999</v>
      </c>
      <c r="I31" s="24">
        <f>'Merluza sur Industrial'!L32</f>
        <v>0</v>
      </c>
      <c r="J31" s="24">
        <f>'Merluza sur Industrial'!M32</f>
        <v>1.7749999999999999</v>
      </c>
      <c r="K31" s="24">
        <f>'Merluza sur Industrial'!N32</f>
        <v>3.3000000000000002E-2</v>
      </c>
      <c r="L31" s="24">
        <f>'Merluza sur Industrial'!O32</f>
        <v>1.742</v>
      </c>
      <c r="M31" s="251">
        <f>'Merluza sur Industrial'!P32</f>
        <v>1.859154929577465E-2</v>
      </c>
      <c r="N31" s="24" t="s">
        <v>410</v>
      </c>
      <c r="O31" s="278">
        <v>43465</v>
      </c>
    </row>
    <row r="32" spans="1:15" x14ac:dyDescent="0.25">
      <c r="A32" s="24" t="s">
        <v>291</v>
      </c>
      <c r="B32" s="24" t="s">
        <v>283</v>
      </c>
      <c r="C32" s="24" t="s">
        <v>292</v>
      </c>
      <c r="D32" s="24" t="s">
        <v>285</v>
      </c>
      <c r="E32" s="24" t="s">
        <v>413</v>
      </c>
      <c r="F32" s="24" t="s">
        <v>286</v>
      </c>
      <c r="G32" s="24" t="s">
        <v>286</v>
      </c>
      <c r="H32" s="24">
        <f>'Merluza sur Industrial'!E34</f>
        <v>598.81799999999998</v>
      </c>
      <c r="I32" s="24">
        <f>'Merluza sur Industrial'!F34</f>
        <v>0</v>
      </c>
      <c r="J32" s="24">
        <f>'Merluza sur Industrial'!G34</f>
        <v>598.81799999999998</v>
      </c>
      <c r="K32" s="24">
        <f>'Merluza sur Industrial'!H34</f>
        <v>0.86499999999999999</v>
      </c>
      <c r="L32" s="24">
        <f>'Merluza sur Industrial'!I34</f>
        <v>597.95299999999997</v>
      </c>
      <c r="M32" s="251">
        <f>'Merluza sur Industrial'!J34</f>
        <v>1.4445123560080024E-3</v>
      </c>
      <c r="N32" s="24" t="s">
        <v>410</v>
      </c>
      <c r="O32" s="278">
        <v>43465</v>
      </c>
    </row>
    <row r="33" spans="1:15" x14ac:dyDescent="0.25">
      <c r="A33" s="24" t="s">
        <v>291</v>
      </c>
      <c r="B33" s="24" t="s">
        <v>283</v>
      </c>
      <c r="C33" s="24" t="s">
        <v>292</v>
      </c>
      <c r="D33" s="24" t="s">
        <v>285</v>
      </c>
      <c r="E33" s="24" t="s">
        <v>413</v>
      </c>
      <c r="F33" s="24" t="s">
        <v>287</v>
      </c>
      <c r="G33" s="24" t="s">
        <v>288</v>
      </c>
      <c r="H33" s="24">
        <f>'Merluza sur Industrial'!E35</f>
        <v>1112.1669999999999</v>
      </c>
      <c r="I33" s="24">
        <f>'Merluza sur Industrial'!F35</f>
        <v>-1561.682</v>
      </c>
      <c r="J33" s="24">
        <f>'Merluza sur Industrial'!G35</f>
        <v>148.43799999999987</v>
      </c>
      <c r="K33" s="24">
        <f>'Merluza sur Industrial'!H35</f>
        <v>135.50199999999998</v>
      </c>
      <c r="L33" s="24">
        <f>'Merluza sur Industrial'!I35</f>
        <v>12.935999999999893</v>
      </c>
      <c r="M33" s="251">
        <f>'Merluza sur Industrial'!J35</f>
        <v>0.91285250407577634</v>
      </c>
      <c r="N33" s="24" t="s">
        <v>410</v>
      </c>
      <c r="O33" s="278">
        <v>43465</v>
      </c>
    </row>
    <row r="34" spans="1:15" x14ac:dyDescent="0.25">
      <c r="A34" s="24" t="s">
        <v>291</v>
      </c>
      <c r="B34" s="24" t="s">
        <v>283</v>
      </c>
      <c r="C34" s="24" t="s">
        <v>292</v>
      </c>
      <c r="D34" s="24" t="s">
        <v>285</v>
      </c>
      <c r="E34" s="24" t="s">
        <v>413</v>
      </c>
      <c r="F34" s="24" t="s">
        <v>286</v>
      </c>
      <c r="G34" s="24" t="s">
        <v>288</v>
      </c>
      <c r="H34" s="24">
        <f>'Merluza sur Industrial'!K34</f>
        <v>1710.9849999999999</v>
      </c>
      <c r="I34" s="24">
        <f>'Merluza sur Industrial'!L34</f>
        <v>-1561.682</v>
      </c>
      <c r="J34" s="24">
        <f>'Merluza sur Industrial'!M34</f>
        <v>149.30299999999988</v>
      </c>
      <c r="K34" s="24">
        <f>'Merluza sur Industrial'!N34</f>
        <v>136.36699999999999</v>
      </c>
      <c r="L34" s="24">
        <f>'Merluza sur Industrial'!O34</f>
        <v>12.935999999999893</v>
      </c>
      <c r="M34" s="251">
        <f>'Merluza sur Industrial'!P34</f>
        <v>0.91335740072202232</v>
      </c>
      <c r="N34" s="24" t="s">
        <v>410</v>
      </c>
      <c r="O34" s="278">
        <v>43465</v>
      </c>
    </row>
    <row r="35" spans="1:15" x14ac:dyDescent="0.25">
      <c r="A35" s="24" t="s">
        <v>291</v>
      </c>
      <c r="B35" s="24" t="s">
        <v>283</v>
      </c>
      <c r="C35" s="24" t="s">
        <v>292</v>
      </c>
      <c r="D35" s="24" t="s">
        <v>285</v>
      </c>
      <c r="E35" s="24" t="s">
        <v>414</v>
      </c>
      <c r="F35" s="24" t="s">
        <v>286</v>
      </c>
      <c r="G35" s="24" t="s">
        <v>286</v>
      </c>
      <c r="H35" s="24">
        <f>'Merluza sur Industrial'!E36</f>
        <v>181.166</v>
      </c>
      <c r="I35" s="24">
        <f>'Merluza sur Industrial'!F36</f>
        <v>0</v>
      </c>
      <c r="J35" s="24">
        <f>'Merluza sur Industrial'!G36</f>
        <v>181.166</v>
      </c>
      <c r="K35" s="24">
        <f>'Merluza sur Industrial'!H36</f>
        <v>0</v>
      </c>
      <c r="L35" s="24">
        <f>'Merluza sur Industrial'!I36</f>
        <v>181.166</v>
      </c>
      <c r="M35" s="251">
        <f>'Merluza sur Industrial'!J36</f>
        <v>0</v>
      </c>
      <c r="N35" s="24" t="s">
        <v>410</v>
      </c>
      <c r="O35" s="278">
        <v>43465</v>
      </c>
    </row>
    <row r="36" spans="1:15" x14ac:dyDescent="0.25">
      <c r="A36" s="24" t="s">
        <v>291</v>
      </c>
      <c r="B36" s="24" t="s">
        <v>283</v>
      </c>
      <c r="C36" s="24" t="s">
        <v>292</v>
      </c>
      <c r="D36" s="24" t="s">
        <v>285</v>
      </c>
      <c r="E36" s="24" t="s">
        <v>414</v>
      </c>
      <c r="F36" s="24" t="s">
        <v>287</v>
      </c>
      <c r="G36" s="24" t="s">
        <v>288</v>
      </c>
      <c r="H36" s="24">
        <f>'Merluza sur Industrial'!E37</f>
        <v>336.47500000000002</v>
      </c>
      <c r="I36" s="24">
        <f>'Merluza sur Industrial'!F37</f>
        <v>-329.27699999999999</v>
      </c>
      <c r="J36" s="24">
        <f>'Merluza sur Industrial'!G37</f>
        <v>188.36400000000003</v>
      </c>
      <c r="K36" s="24">
        <f>'Merluza sur Industrial'!H37</f>
        <v>186.84899999999999</v>
      </c>
      <c r="L36" s="24">
        <f>'Merluza sur Industrial'!I37</f>
        <v>1.5150000000000432</v>
      </c>
      <c r="M36" s="251">
        <f>'Merluza sur Industrial'!J37</f>
        <v>0.99195706185895371</v>
      </c>
      <c r="N36" s="24" t="s">
        <v>410</v>
      </c>
      <c r="O36" s="278">
        <v>43465</v>
      </c>
    </row>
    <row r="37" spans="1:15" x14ac:dyDescent="0.25">
      <c r="A37" s="24" t="s">
        <v>291</v>
      </c>
      <c r="B37" s="24" t="s">
        <v>283</v>
      </c>
      <c r="C37" s="24" t="s">
        <v>292</v>
      </c>
      <c r="D37" s="24" t="s">
        <v>285</v>
      </c>
      <c r="E37" s="24" t="s">
        <v>414</v>
      </c>
      <c r="F37" s="24" t="s">
        <v>286</v>
      </c>
      <c r="G37" s="24" t="s">
        <v>288</v>
      </c>
      <c r="H37" s="24">
        <f>'Merluza sur Industrial'!K36</f>
        <v>517.64100000000008</v>
      </c>
      <c r="I37" s="24">
        <f>'Merluza sur Industrial'!L36</f>
        <v>-329.27699999999999</v>
      </c>
      <c r="J37" s="24">
        <f>'Merluza sur Industrial'!M36</f>
        <v>188.36400000000009</v>
      </c>
      <c r="K37" s="24">
        <f>'Merluza sur Industrial'!N36</f>
        <v>186.84899999999999</v>
      </c>
      <c r="L37" s="24">
        <f>'Merluza sur Industrial'!O36</f>
        <v>1.5150000000001</v>
      </c>
      <c r="M37" s="251">
        <f>'Merluza sur Industrial'!P36</f>
        <v>0.99195706185895338</v>
      </c>
      <c r="N37" s="24" t="s">
        <v>410</v>
      </c>
      <c r="O37" s="278">
        <v>43465</v>
      </c>
    </row>
    <row r="38" spans="1:15" x14ac:dyDescent="0.25">
      <c r="A38" s="24" t="s">
        <v>291</v>
      </c>
      <c r="B38" s="24" t="s">
        <v>283</v>
      </c>
      <c r="C38" s="24" t="s">
        <v>292</v>
      </c>
      <c r="D38" s="24" t="s">
        <v>285</v>
      </c>
      <c r="E38" s="24" t="s">
        <v>415</v>
      </c>
      <c r="F38" s="24" t="s">
        <v>286</v>
      </c>
      <c r="G38" s="24" t="s">
        <v>286</v>
      </c>
      <c r="H38" s="24">
        <f>'Merluza sur Industrial'!E38</f>
        <v>4.6319999999999997</v>
      </c>
      <c r="I38" s="24">
        <f>'Merluza sur Industrial'!F38</f>
        <v>0</v>
      </c>
      <c r="J38" s="24">
        <f>'Merluza sur Industrial'!G38</f>
        <v>4.6319999999999997</v>
      </c>
      <c r="K38" s="24">
        <f>'Merluza sur Industrial'!H38</f>
        <v>0</v>
      </c>
      <c r="L38" s="24">
        <f>'Merluza sur Industrial'!I38</f>
        <v>4.6319999999999997</v>
      </c>
      <c r="M38" s="251">
        <f>'Merluza sur Industrial'!J38</f>
        <v>0</v>
      </c>
      <c r="N38" s="24" t="s">
        <v>410</v>
      </c>
      <c r="O38" s="278">
        <v>43465</v>
      </c>
    </row>
    <row r="39" spans="1:15" x14ac:dyDescent="0.25">
      <c r="A39" s="24" t="s">
        <v>291</v>
      </c>
      <c r="B39" s="24" t="s">
        <v>283</v>
      </c>
      <c r="C39" s="24" t="s">
        <v>292</v>
      </c>
      <c r="D39" s="24" t="s">
        <v>285</v>
      </c>
      <c r="E39" s="24" t="s">
        <v>415</v>
      </c>
      <c r="F39" s="24" t="s">
        <v>287</v>
      </c>
      <c r="G39" s="24" t="s">
        <v>288</v>
      </c>
      <c r="H39" s="24">
        <f>'Merluza sur Industrial'!E39</f>
        <v>8.6020000000000003</v>
      </c>
      <c r="I39" s="24">
        <f>'Merluza sur Industrial'!F39</f>
        <v>0</v>
      </c>
      <c r="J39" s="24">
        <f>'Merluza sur Industrial'!G39</f>
        <v>13.234</v>
      </c>
      <c r="K39" s="24">
        <f>'Merluza sur Industrial'!H39</f>
        <v>0</v>
      </c>
      <c r="L39" s="24">
        <f>'Merluza sur Industrial'!I39</f>
        <v>13.234</v>
      </c>
      <c r="M39" s="251">
        <f>'Merluza sur Industrial'!J39</f>
        <v>0</v>
      </c>
      <c r="N39" s="24" t="s">
        <v>410</v>
      </c>
      <c r="O39" s="278">
        <v>43465</v>
      </c>
    </row>
    <row r="40" spans="1:15" x14ac:dyDescent="0.25">
      <c r="A40" s="24" t="s">
        <v>291</v>
      </c>
      <c r="B40" s="24" t="s">
        <v>283</v>
      </c>
      <c r="C40" s="24" t="s">
        <v>292</v>
      </c>
      <c r="D40" s="24" t="s">
        <v>285</v>
      </c>
      <c r="E40" s="24" t="s">
        <v>415</v>
      </c>
      <c r="F40" s="24" t="s">
        <v>286</v>
      </c>
      <c r="G40" s="24" t="s">
        <v>288</v>
      </c>
      <c r="H40" s="24">
        <f>'Merluza sur Industrial'!K38</f>
        <v>13.234</v>
      </c>
      <c r="I40" s="24">
        <f>'Merluza sur Industrial'!L38</f>
        <v>0</v>
      </c>
      <c r="J40" s="24">
        <f>'Merluza sur Industrial'!M38</f>
        <v>13.234</v>
      </c>
      <c r="K40" s="24">
        <f>'Merluza sur Industrial'!N38</f>
        <v>0</v>
      </c>
      <c r="L40" s="24">
        <f>'Merluza sur Industrial'!O38</f>
        <v>13.234</v>
      </c>
      <c r="M40" s="251">
        <f>'Merluza sur Industrial'!P38</f>
        <v>0</v>
      </c>
      <c r="N40" s="24" t="s">
        <v>410</v>
      </c>
      <c r="O40" s="278">
        <v>43465</v>
      </c>
    </row>
    <row r="41" spans="1:15" x14ac:dyDescent="0.25">
      <c r="A41" s="24" t="s">
        <v>295</v>
      </c>
      <c r="B41" s="24" t="s">
        <v>283</v>
      </c>
      <c r="C41" s="24" t="s">
        <v>294</v>
      </c>
      <c r="D41" s="24" t="s">
        <v>296</v>
      </c>
      <c r="E41" s="24" t="s">
        <v>293</v>
      </c>
      <c r="F41" s="24" t="s">
        <v>286</v>
      </c>
      <c r="G41" s="24" t="s">
        <v>297</v>
      </c>
      <c r="H41" s="24">
        <f>'Merluza sur Artesanal'!E7</f>
        <v>180.96100000000001</v>
      </c>
      <c r="I41" s="24">
        <f>'Merluza sur Artesanal'!F7</f>
        <v>-80</v>
      </c>
      <c r="J41" s="24">
        <f>'Merluza sur Artesanal'!G7</f>
        <v>100.96100000000001</v>
      </c>
      <c r="K41" s="24">
        <f>'Merluza sur Artesanal'!H7</f>
        <v>100.49</v>
      </c>
      <c r="L41" s="24">
        <f>'Merluza sur Artesanal'!I7</f>
        <v>0.47100000000001785</v>
      </c>
      <c r="M41" s="251">
        <f>'Merluza sur Artesanal'!J7</f>
        <v>0.9953348322619624</v>
      </c>
      <c r="N41" s="24" t="str">
        <f>'Merluza sur Artesanal'!K7</f>
        <v>-</v>
      </c>
      <c r="O41" s="278">
        <v>43465</v>
      </c>
    </row>
    <row r="42" spans="1:15" x14ac:dyDescent="0.25">
      <c r="A42" s="24" t="s">
        <v>295</v>
      </c>
      <c r="B42" s="24" t="s">
        <v>283</v>
      </c>
      <c r="C42" s="24" t="s">
        <v>294</v>
      </c>
      <c r="D42" s="24" t="s">
        <v>296</v>
      </c>
      <c r="E42" s="24" t="s">
        <v>293</v>
      </c>
      <c r="F42" s="24" t="s">
        <v>298</v>
      </c>
      <c r="G42" s="24" t="s">
        <v>288</v>
      </c>
      <c r="H42" s="24">
        <f>'Merluza sur Artesanal'!E8</f>
        <v>104.051</v>
      </c>
      <c r="I42" s="24">
        <f>'Merluza sur Artesanal'!F8</f>
        <v>0</v>
      </c>
      <c r="J42" s="24">
        <f>'Merluza sur Artesanal'!G8</f>
        <v>104.52200000000002</v>
      </c>
      <c r="K42" s="24">
        <f>'Merluza sur Artesanal'!H8</f>
        <v>101.2</v>
      </c>
      <c r="L42" s="24">
        <f>'Merluza sur Artesanal'!I8</f>
        <v>3.3220000000000169</v>
      </c>
      <c r="M42" s="251">
        <f>'Merluza sur Artesanal'!J8</f>
        <v>0.96821721742790978</v>
      </c>
      <c r="N42" s="24" t="str">
        <f>'Merluza sur Artesanal'!K8</f>
        <v>-</v>
      </c>
      <c r="O42" s="278">
        <v>43465</v>
      </c>
    </row>
    <row r="43" spans="1:15" x14ac:dyDescent="0.25">
      <c r="A43" s="24" t="s">
        <v>295</v>
      </c>
      <c r="B43" s="24" t="s">
        <v>283</v>
      </c>
      <c r="C43" s="24" t="s">
        <v>294</v>
      </c>
      <c r="D43" s="24" t="s">
        <v>296</v>
      </c>
      <c r="E43" s="24" t="s">
        <v>293</v>
      </c>
      <c r="F43" s="24" t="s">
        <v>286</v>
      </c>
      <c r="G43" s="24" t="s">
        <v>288</v>
      </c>
      <c r="H43" s="24">
        <f>'Merluza sur Artesanal'!L7</f>
        <v>285.012</v>
      </c>
      <c r="I43" s="24">
        <f>'Merluza sur Artesanal'!M7</f>
        <v>-80</v>
      </c>
      <c r="J43" s="24">
        <f>'Merluza sur Artesanal'!N7</f>
        <v>205.012</v>
      </c>
      <c r="K43" s="24">
        <f>'Merluza sur Artesanal'!O7</f>
        <v>201.69</v>
      </c>
      <c r="L43" s="24">
        <f>'Merluza sur Artesanal'!P7</f>
        <v>3.3220000000000027</v>
      </c>
      <c r="M43" s="251">
        <f>'Merluza sur Artesanal'!Q7</f>
        <v>0.98379607047392348</v>
      </c>
      <c r="N43" s="24" t="s">
        <v>410</v>
      </c>
      <c r="O43" s="278">
        <v>43465</v>
      </c>
    </row>
    <row r="44" spans="1:15" x14ac:dyDescent="0.25">
      <c r="A44" s="24" t="s">
        <v>295</v>
      </c>
      <c r="B44" s="24" t="s">
        <v>283</v>
      </c>
      <c r="C44" s="24" t="s">
        <v>294</v>
      </c>
      <c r="D44" s="24" t="s">
        <v>296</v>
      </c>
      <c r="E44" s="24" t="s">
        <v>299</v>
      </c>
      <c r="F44" s="24" t="s">
        <v>286</v>
      </c>
      <c r="G44" s="24" t="s">
        <v>297</v>
      </c>
      <c r="H44" s="24">
        <f>'Merluza sur Artesanal'!E9</f>
        <v>509.89800000000002</v>
      </c>
      <c r="I44" s="24">
        <f>'Merluza sur Artesanal'!F9</f>
        <v>-300</v>
      </c>
      <c r="J44" s="24">
        <f>'Merluza sur Artesanal'!G9</f>
        <v>209.89800000000002</v>
      </c>
      <c r="K44" s="24">
        <f>'Merluza sur Artesanal'!H9</f>
        <v>116.34</v>
      </c>
      <c r="L44" s="24">
        <f>'Merluza sur Artesanal'!I9</f>
        <v>93.558000000000021</v>
      </c>
      <c r="M44" s="251">
        <f>'Merluza sur Artesanal'!J9</f>
        <v>0.55426921647657423</v>
      </c>
      <c r="N44" s="24" t="str">
        <f>'Merluza sur Artesanal'!K9</f>
        <v>-</v>
      </c>
      <c r="O44" s="278">
        <v>43465</v>
      </c>
    </row>
    <row r="45" spans="1:15" x14ac:dyDescent="0.25">
      <c r="A45" s="24" t="s">
        <v>295</v>
      </c>
      <c r="B45" s="24" t="s">
        <v>283</v>
      </c>
      <c r="C45" s="24" t="s">
        <v>294</v>
      </c>
      <c r="D45" s="24" t="s">
        <v>296</v>
      </c>
      <c r="E45" s="24" t="s">
        <v>299</v>
      </c>
      <c r="F45" s="24" t="s">
        <v>298</v>
      </c>
      <c r="G45" s="24" t="s">
        <v>288</v>
      </c>
      <c r="H45" s="24">
        <f>'Merluza sur Artesanal'!E10</f>
        <v>113.639</v>
      </c>
      <c r="I45" s="24">
        <f>'Merluza sur Artesanal'!F10</f>
        <v>-77</v>
      </c>
      <c r="J45" s="24">
        <f>'Merluza sur Artesanal'!G10</f>
        <v>130.197</v>
      </c>
      <c r="K45" s="24">
        <f>'Merluza sur Artesanal'!H10</f>
        <v>111.194</v>
      </c>
      <c r="L45" s="24">
        <f>'Merluza sur Artesanal'!I10</f>
        <v>230.679</v>
      </c>
      <c r="M45" s="251">
        <f>'Merluza sur Artesanal'!J10</f>
        <v>0.85404425601204326</v>
      </c>
      <c r="N45" s="24" t="str">
        <f>'Merluza sur Artesanal'!K10</f>
        <v>-</v>
      </c>
      <c r="O45" s="278">
        <v>43465</v>
      </c>
    </row>
    <row r="46" spans="1:15" x14ac:dyDescent="0.25">
      <c r="A46" s="24" t="s">
        <v>295</v>
      </c>
      <c r="B46" s="24" t="s">
        <v>283</v>
      </c>
      <c r="C46" s="24" t="s">
        <v>294</v>
      </c>
      <c r="D46" s="24" t="s">
        <v>296</v>
      </c>
      <c r="E46" s="24" t="s">
        <v>299</v>
      </c>
      <c r="F46" s="24" t="s">
        <v>286</v>
      </c>
      <c r="G46" s="24" t="s">
        <v>288</v>
      </c>
      <c r="H46" s="24">
        <f>'Merluza sur Artesanal'!L9</f>
        <v>623.53700000000003</v>
      </c>
      <c r="I46" s="24">
        <f>'Merluza sur Artesanal'!M9</f>
        <v>-377</v>
      </c>
      <c r="J46" s="24">
        <f>'Merluza sur Artesanal'!N9</f>
        <v>246.53700000000003</v>
      </c>
      <c r="K46" s="24">
        <f>'Merluza sur Artesanal'!O9</f>
        <v>227.53399999999999</v>
      </c>
      <c r="L46" s="24">
        <f>'Merluza sur Artesanal'!P9</f>
        <v>19.003000000000043</v>
      </c>
      <c r="M46" s="251">
        <f>'Merluza sur Artesanal'!Q9</f>
        <v>0.92292029188316549</v>
      </c>
      <c r="N46" s="24" t="s">
        <v>410</v>
      </c>
      <c r="O46" s="278">
        <v>43465</v>
      </c>
    </row>
    <row r="47" spans="1:15" x14ac:dyDescent="0.25">
      <c r="A47" s="24" t="s">
        <v>295</v>
      </c>
      <c r="B47" s="24" t="s">
        <v>283</v>
      </c>
      <c r="C47" s="24" t="s">
        <v>294</v>
      </c>
      <c r="D47" s="24" t="s">
        <v>296</v>
      </c>
      <c r="E47" s="24" t="s">
        <v>300</v>
      </c>
      <c r="F47" s="24" t="s">
        <v>286</v>
      </c>
      <c r="G47" s="24" t="s">
        <v>297</v>
      </c>
      <c r="H47" s="24">
        <f>'Merluza sur Artesanal'!E11</f>
        <v>197.28900000000002</v>
      </c>
      <c r="I47" s="24">
        <f>'Merluza sur Artesanal'!F11</f>
        <v>0</v>
      </c>
      <c r="J47" s="24">
        <f>'Merluza sur Artesanal'!G11</f>
        <v>197.28900000000002</v>
      </c>
      <c r="K47" s="24">
        <f>'Merluza sur Artesanal'!H11</f>
        <v>161.80600000000001</v>
      </c>
      <c r="L47" s="24">
        <f>'Merluza sur Artesanal'!I11</f>
        <v>35.483000000000004</v>
      </c>
      <c r="M47" s="251">
        <f>'Merluza sur Artesanal'!J11</f>
        <v>0.82014709385723483</v>
      </c>
      <c r="N47" s="24" t="str">
        <f>'Merluza sur Artesanal'!K11</f>
        <v>-</v>
      </c>
      <c r="O47" s="278">
        <v>43465</v>
      </c>
    </row>
    <row r="48" spans="1:15" x14ac:dyDescent="0.25">
      <c r="A48" s="24" t="s">
        <v>295</v>
      </c>
      <c r="B48" s="24" t="s">
        <v>283</v>
      </c>
      <c r="C48" s="24" t="s">
        <v>294</v>
      </c>
      <c r="D48" s="24" t="s">
        <v>296</v>
      </c>
      <c r="E48" s="24" t="s">
        <v>300</v>
      </c>
      <c r="F48" s="24" t="s">
        <v>298</v>
      </c>
      <c r="G48" s="24" t="s">
        <v>288</v>
      </c>
      <c r="H48" s="24">
        <f>'Merluza sur Artesanal'!E12</f>
        <v>44.053999999999995</v>
      </c>
      <c r="I48" s="24">
        <f>'Merluza sur Artesanal'!F12</f>
        <v>0</v>
      </c>
      <c r="J48" s="24">
        <f>'Merluza sur Artesanal'!G12</f>
        <v>79.537000000000006</v>
      </c>
      <c r="K48" s="24">
        <f>'Merluza sur Artesanal'!H12</f>
        <v>77.602000000000004</v>
      </c>
      <c r="L48" s="24">
        <f>'Merluza sur Artesanal'!I12</f>
        <v>1.9350000000000023</v>
      </c>
      <c r="M48" s="251">
        <f>'Merluza sur Artesanal'!J12</f>
        <v>0.97567169996353897</v>
      </c>
      <c r="N48" s="24" t="str">
        <f>'Merluza sur Artesanal'!K12</f>
        <v>-</v>
      </c>
      <c r="O48" s="278">
        <v>43465</v>
      </c>
    </row>
    <row r="49" spans="1:15" x14ac:dyDescent="0.25">
      <c r="A49" s="24" t="s">
        <v>295</v>
      </c>
      <c r="B49" s="24" t="s">
        <v>283</v>
      </c>
      <c r="C49" s="24" t="s">
        <v>294</v>
      </c>
      <c r="D49" s="24" t="s">
        <v>296</v>
      </c>
      <c r="E49" s="24" t="s">
        <v>300</v>
      </c>
      <c r="F49" s="24" t="s">
        <v>286</v>
      </c>
      <c r="G49" s="24" t="s">
        <v>288</v>
      </c>
      <c r="H49" s="24">
        <f>'Merluza sur Artesanal'!L11</f>
        <v>241.34300000000002</v>
      </c>
      <c r="I49" s="24">
        <f>'Merluza sur Artesanal'!M11</f>
        <v>0</v>
      </c>
      <c r="J49" s="24">
        <f>'Merluza sur Artesanal'!N11</f>
        <v>241.34300000000002</v>
      </c>
      <c r="K49" s="24">
        <f>'Merluza sur Artesanal'!O11</f>
        <v>239.40800000000002</v>
      </c>
      <c r="L49" s="24">
        <f>'Merluza sur Artesanal'!P11</f>
        <v>1.9350000000000023</v>
      </c>
      <c r="M49" s="251">
        <f>'Merluza sur Artesanal'!Q11</f>
        <v>0.99198236534724438</v>
      </c>
      <c r="N49" s="24" t="s">
        <v>410</v>
      </c>
      <c r="O49" s="278">
        <v>43465</v>
      </c>
    </row>
    <row r="50" spans="1:15" x14ac:dyDescent="0.25">
      <c r="A50" s="24" t="s">
        <v>295</v>
      </c>
      <c r="B50" s="24" t="s">
        <v>283</v>
      </c>
      <c r="C50" s="24" t="s">
        <v>294</v>
      </c>
      <c r="D50" s="24" t="s">
        <v>296</v>
      </c>
      <c r="E50" s="24" t="s">
        <v>301</v>
      </c>
      <c r="F50" s="24" t="s">
        <v>286</v>
      </c>
      <c r="G50" s="24" t="s">
        <v>297</v>
      </c>
      <c r="H50" s="24">
        <f>'Merluza sur Artesanal'!E13</f>
        <v>350.58699999999999</v>
      </c>
      <c r="I50" s="24">
        <f>'Merluza sur Artesanal'!F13</f>
        <v>0</v>
      </c>
      <c r="J50" s="24">
        <f>'Merluza sur Artesanal'!G13</f>
        <v>350.58699999999999</v>
      </c>
      <c r="K50" s="24">
        <f>'Merluza sur Artesanal'!H13</f>
        <v>318.565</v>
      </c>
      <c r="L50" s="24">
        <f>'Merluza sur Artesanal'!I13</f>
        <v>32.021999999999991</v>
      </c>
      <c r="M50" s="251">
        <f>'Merluza sur Artesanal'!J13</f>
        <v>0.90866175870753907</v>
      </c>
      <c r="N50" s="24" t="str">
        <f>'Merluza sur Artesanal'!K13</f>
        <v>-</v>
      </c>
      <c r="O50" s="278">
        <v>43465</v>
      </c>
    </row>
    <row r="51" spans="1:15" x14ac:dyDescent="0.25">
      <c r="A51" s="24" t="s">
        <v>295</v>
      </c>
      <c r="B51" s="24" t="s">
        <v>283</v>
      </c>
      <c r="C51" s="24" t="s">
        <v>294</v>
      </c>
      <c r="D51" s="24" t="s">
        <v>296</v>
      </c>
      <c r="E51" s="24" t="s">
        <v>301</v>
      </c>
      <c r="F51" s="24" t="s">
        <v>298</v>
      </c>
      <c r="G51" s="24" t="s">
        <v>288</v>
      </c>
      <c r="H51" s="24">
        <f>'Merluza sur Artesanal'!E14</f>
        <v>78.284999999999997</v>
      </c>
      <c r="I51" s="24">
        <f>'Merluza sur Artesanal'!F14</f>
        <v>0</v>
      </c>
      <c r="J51" s="24">
        <f>'Merluza sur Artesanal'!G14</f>
        <v>110.30699999999999</v>
      </c>
      <c r="K51" s="24">
        <f>'Merluza sur Artesanal'!H14</f>
        <v>92.161000000000001</v>
      </c>
      <c r="L51" s="24">
        <f>'Merluza sur Artesanal'!I14</f>
        <v>18.145999999999987</v>
      </c>
      <c r="M51" s="251">
        <f>'Merluza sur Artesanal'!J14</f>
        <v>0.83549548079450997</v>
      </c>
      <c r="N51" s="24" t="str">
        <f>'Merluza sur Artesanal'!K14</f>
        <v>-</v>
      </c>
      <c r="O51" s="278">
        <v>43465</v>
      </c>
    </row>
    <row r="52" spans="1:15" x14ac:dyDescent="0.25">
      <c r="A52" s="24" t="s">
        <v>295</v>
      </c>
      <c r="B52" s="24" t="s">
        <v>283</v>
      </c>
      <c r="C52" s="24" t="s">
        <v>294</v>
      </c>
      <c r="D52" s="24" t="s">
        <v>296</v>
      </c>
      <c r="E52" s="24" t="s">
        <v>301</v>
      </c>
      <c r="F52" s="24" t="s">
        <v>286</v>
      </c>
      <c r="G52" s="24" t="s">
        <v>288</v>
      </c>
      <c r="H52" s="24">
        <f>'Merluza sur Artesanal'!L13</f>
        <v>428.87199999999996</v>
      </c>
      <c r="I52" s="24">
        <f>'Merluza sur Artesanal'!M13</f>
        <v>0</v>
      </c>
      <c r="J52" s="24">
        <f>'Merluza sur Artesanal'!N13</f>
        <v>428.87199999999996</v>
      </c>
      <c r="K52" s="24">
        <f>'Merluza sur Artesanal'!O13</f>
        <v>410.726</v>
      </c>
      <c r="L52" s="24">
        <f>'Merluza sur Artesanal'!P13</f>
        <v>18.145999999999958</v>
      </c>
      <c r="M52" s="251">
        <f>'Merluza sur Artesanal'!Q13</f>
        <v>0.95768900744278018</v>
      </c>
      <c r="N52" s="24" t="s">
        <v>410</v>
      </c>
      <c r="O52" s="278">
        <v>43465</v>
      </c>
    </row>
    <row r="53" spans="1:15" x14ac:dyDescent="0.25">
      <c r="A53" s="24" t="s">
        <v>295</v>
      </c>
      <c r="B53" s="24" t="s">
        <v>283</v>
      </c>
      <c r="C53" s="24" t="s">
        <v>294</v>
      </c>
      <c r="D53" s="24" t="s">
        <v>296</v>
      </c>
      <c r="E53" s="24" t="s">
        <v>302</v>
      </c>
      <c r="F53" s="24" t="s">
        <v>286</v>
      </c>
      <c r="G53" s="24" t="s">
        <v>297</v>
      </c>
      <c r="H53" s="24">
        <f>'Merluza sur Artesanal'!E15</f>
        <v>372.67500000000001</v>
      </c>
      <c r="I53" s="24">
        <f>'Merluza sur Artesanal'!F15</f>
        <v>0</v>
      </c>
      <c r="J53" s="24">
        <f>'Merluza sur Artesanal'!G15</f>
        <v>372.67500000000001</v>
      </c>
      <c r="K53" s="24">
        <f>'Merluza sur Artesanal'!H15</f>
        <v>333.95699999999999</v>
      </c>
      <c r="L53" s="24">
        <f>'Merluza sur Artesanal'!I15</f>
        <v>38.718000000000018</v>
      </c>
      <c r="M53" s="251">
        <f>'Merluza sur Artesanal'!J15</f>
        <v>0.89610786878647608</v>
      </c>
      <c r="N53" s="24" t="str">
        <f>'Merluza sur Artesanal'!K15</f>
        <v>-</v>
      </c>
      <c r="O53" s="278">
        <v>43465</v>
      </c>
    </row>
    <row r="54" spans="1:15" x14ac:dyDescent="0.25">
      <c r="A54" s="24" t="s">
        <v>295</v>
      </c>
      <c r="B54" s="24" t="s">
        <v>283</v>
      </c>
      <c r="C54" s="24" t="s">
        <v>294</v>
      </c>
      <c r="D54" s="24" t="s">
        <v>296</v>
      </c>
      <c r="E54" s="24" t="s">
        <v>302</v>
      </c>
      <c r="F54" s="24" t="s">
        <v>298</v>
      </c>
      <c r="G54" s="24" t="s">
        <v>288</v>
      </c>
      <c r="H54" s="24">
        <f>'Merluza sur Artesanal'!E16</f>
        <v>214.286</v>
      </c>
      <c r="I54" s="24">
        <f>'Merluza sur Artesanal'!F16</f>
        <v>0</v>
      </c>
      <c r="J54" s="24">
        <f>'Merluza sur Artesanal'!G16</f>
        <v>253.00400000000002</v>
      </c>
      <c r="K54" s="24">
        <f>'Merluza sur Artesanal'!H16</f>
        <v>241.30600000000001</v>
      </c>
      <c r="L54" s="24">
        <f>'Merluza sur Artesanal'!I16</f>
        <v>11.698000000000008</v>
      </c>
      <c r="M54" s="251">
        <f>'Merluza sur Artesanal'!J16</f>
        <v>0.95376357686044488</v>
      </c>
      <c r="N54" s="24" t="str">
        <f>'Merluza sur Artesanal'!K16</f>
        <v>-</v>
      </c>
      <c r="O54" s="278">
        <v>43465</v>
      </c>
    </row>
    <row r="55" spans="1:15" x14ac:dyDescent="0.25">
      <c r="A55" s="24" t="s">
        <v>295</v>
      </c>
      <c r="B55" s="24" t="s">
        <v>283</v>
      </c>
      <c r="C55" s="24" t="s">
        <v>294</v>
      </c>
      <c r="D55" s="24" t="s">
        <v>296</v>
      </c>
      <c r="E55" s="24" t="s">
        <v>302</v>
      </c>
      <c r="F55" s="24" t="s">
        <v>286</v>
      </c>
      <c r="G55" s="24" t="s">
        <v>288</v>
      </c>
      <c r="H55" s="24">
        <f>'Merluza sur Artesanal'!L15</f>
        <v>586.96100000000001</v>
      </c>
      <c r="I55" s="24">
        <f>'Merluza sur Artesanal'!M15</f>
        <v>0</v>
      </c>
      <c r="J55" s="24">
        <f>'Merluza sur Artesanal'!N15</f>
        <v>586.96100000000001</v>
      </c>
      <c r="K55" s="24">
        <f>'Merluza sur Artesanal'!O15</f>
        <v>575.26300000000003</v>
      </c>
      <c r="L55" s="24">
        <f>'Merluza sur Artesanal'!P15</f>
        <v>11.697999999999979</v>
      </c>
      <c r="M55" s="251">
        <f>'Merluza sur Artesanal'!Q15</f>
        <v>0.98007022613086736</v>
      </c>
      <c r="N55" s="24" t="s">
        <v>410</v>
      </c>
      <c r="O55" s="278">
        <v>43465</v>
      </c>
    </row>
    <row r="56" spans="1:15" x14ac:dyDescent="0.25">
      <c r="A56" s="24" t="s">
        <v>295</v>
      </c>
      <c r="B56" s="24" t="s">
        <v>283</v>
      </c>
      <c r="C56" s="24" t="s">
        <v>294</v>
      </c>
      <c r="D56" s="24" t="s">
        <v>296</v>
      </c>
      <c r="E56" s="24" t="s">
        <v>303</v>
      </c>
      <c r="F56" s="24" t="s">
        <v>286</v>
      </c>
      <c r="G56" s="24" t="s">
        <v>297</v>
      </c>
      <c r="H56" s="24">
        <f>'Merluza sur Artesanal'!E17</f>
        <v>136.232</v>
      </c>
      <c r="I56" s="24">
        <f>'Merluza sur Artesanal'!F17</f>
        <v>0</v>
      </c>
      <c r="J56" s="24">
        <f>'Merluza sur Artesanal'!G17</f>
        <v>136.232</v>
      </c>
      <c r="K56" s="24">
        <f>'Merluza sur Artesanal'!H17</f>
        <v>89.856999999999999</v>
      </c>
      <c r="L56" s="24">
        <f>'Merluza sur Artesanal'!I17</f>
        <v>46.375</v>
      </c>
      <c r="M56" s="251">
        <f>'Merluza sur Artesanal'!J17</f>
        <v>0.65958805566973988</v>
      </c>
      <c r="N56" s="24" t="str">
        <f>'Merluza sur Artesanal'!K17</f>
        <v>-</v>
      </c>
      <c r="O56" s="278">
        <v>43465</v>
      </c>
    </row>
    <row r="57" spans="1:15" x14ac:dyDescent="0.25">
      <c r="A57" s="24" t="s">
        <v>295</v>
      </c>
      <c r="B57" s="24" t="s">
        <v>283</v>
      </c>
      <c r="C57" s="24" t="s">
        <v>294</v>
      </c>
      <c r="D57" s="24" t="s">
        <v>296</v>
      </c>
      <c r="E57" s="24" t="s">
        <v>303</v>
      </c>
      <c r="F57" s="24" t="s">
        <v>298</v>
      </c>
      <c r="G57" s="24" t="s">
        <v>288</v>
      </c>
      <c r="H57" s="24">
        <f>'Merluza sur Artesanal'!E18</f>
        <v>78.332999999999998</v>
      </c>
      <c r="I57" s="24">
        <f>'Merluza sur Artesanal'!F18</f>
        <v>0</v>
      </c>
      <c r="J57" s="24">
        <f>'Merluza sur Artesanal'!G18</f>
        <v>124.708</v>
      </c>
      <c r="K57" s="24">
        <f>'Merluza sur Artesanal'!H18</f>
        <v>64.195999999999998</v>
      </c>
      <c r="L57" s="24">
        <f>'Merluza sur Artesanal'!I18</f>
        <v>60.512</v>
      </c>
      <c r="M57" s="251">
        <f>'Merluza sur Artesanal'!J18</f>
        <v>0.51477050389710366</v>
      </c>
      <c r="N57" s="24" t="str">
        <f>'Merluza sur Artesanal'!K18</f>
        <v>-</v>
      </c>
      <c r="O57" s="278">
        <v>43465</v>
      </c>
    </row>
    <row r="58" spans="1:15" x14ac:dyDescent="0.25">
      <c r="A58" s="24" t="s">
        <v>295</v>
      </c>
      <c r="B58" s="24" t="s">
        <v>283</v>
      </c>
      <c r="C58" s="24" t="s">
        <v>294</v>
      </c>
      <c r="D58" s="24" t="s">
        <v>296</v>
      </c>
      <c r="E58" s="24" t="s">
        <v>303</v>
      </c>
      <c r="F58" s="24" t="s">
        <v>286</v>
      </c>
      <c r="G58" s="24" t="s">
        <v>288</v>
      </c>
      <c r="H58" s="24">
        <f>'Merluza sur Artesanal'!L17</f>
        <v>214.565</v>
      </c>
      <c r="I58" s="24">
        <f>'Merluza sur Artesanal'!M17</f>
        <v>0</v>
      </c>
      <c r="J58" s="24">
        <f>'Merluza sur Artesanal'!N17</f>
        <v>214.565</v>
      </c>
      <c r="K58" s="24">
        <f>'Merluza sur Artesanal'!O17</f>
        <v>154.053</v>
      </c>
      <c r="L58" s="24">
        <f>'Merluza sur Artesanal'!P17</f>
        <v>60.512</v>
      </c>
      <c r="M58" s="251">
        <f>'Merluza sur Artesanal'!Q17</f>
        <v>0.71797823503367275</v>
      </c>
      <c r="N58" s="24" t="s">
        <v>410</v>
      </c>
      <c r="O58" s="278">
        <v>43465</v>
      </c>
    </row>
    <row r="59" spans="1:15" x14ac:dyDescent="0.25">
      <c r="A59" s="24" t="s">
        <v>295</v>
      </c>
      <c r="B59" s="24" t="s">
        <v>283</v>
      </c>
      <c r="C59" s="24" t="s">
        <v>294</v>
      </c>
      <c r="D59" s="24" t="s">
        <v>296</v>
      </c>
      <c r="E59" s="24" t="s">
        <v>304</v>
      </c>
      <c r="F59" s="24" t="s">
        <v>286</v>
      </c>
      <c r="G59" s="24" t="s">
        <v>297</v>
      </c>
      <c r="H59" s="24">
        <f>'Merluza sur Artesanal'!E19</f>
        <v>1668.9590000000001</v>
      </c>
      <c r="I59" s="24">
        <f>'Merluza sur Artesanal'!F19</f>
        <v>0</v>
      </c>
      <c r="J59" s="24">
        <f>'Merluza sur Artesanal'!G19</f>
        <v>1668.9590000000001</v>
      </c>
      <c r="K59" s="24">
        <f>'Merluza sur Artesanal'!H19</f>
        <v>1389.4590000000001</v>
      </c>
      <c r="L59" s="24">
        <f>'Merluza sur Artesanal'!I19</f>
        <v>279.5</v>
      </c>
      <c r="M59" s="251">
        <f>'Merluza sur Artesanal'!J19</f>
        <v>0.83253033777342644</v>
      </c>
      <c r="N59" s="24" t="str">
        <f>'Merluza sur Artesanal'!K19</f>
        <v>-</v>
      </c>
      <c r="O59" s="278">
        <v>43465</v>
      </c>
    </row>
    <row r="60" spans="1:15" x14ac:dyDescent="0.25">
      <c r="A60" s="24" t="s">
        <v>295</v>
      </c>
      <c r="B60" s="24" t="s">
        <v>283</v>
      </c>
      <c r="C60" s="24" t="s">
        <v>294</v>
      </c>
      <c r="D60" s="24" t="s">
        <v>296</v>
      </c>
      <c r="E60" s="24" t="s">
        <v>304</v>
      </c>
      <c r="F60" s="24" t="s">
        <v>298</v>
      </c>
      <c r="G60" s="24" t="s">
        <v>288</v>
      </c>
      <c r="H60" s="24">
        <f>'Merluza sur Artesanal'!E20</f>
        <v>372.67700000000002</v>
      </c>
      <c r="I60" s="24">
        <f>'Merluza sur Artesanal'!F20</f>
        <v>0</v>
      </c>
      <c r="J60" s="24">
        <f>'Merluza sur Artesanal'!G20</f>
        <v>652.17700000000002</v>
      </c>
      <c r="K60" s="24">
        <f>'Merluza sur Artesanal'!H20</f>
        <v>583.04399999999998</v>
      </c>
      <c r="L60" s="24">
        <f>'Merluza sur Artesanal'!I20</f>
        <v>69.133000000000038</v>
      </c>
      <c r="M60" s="251">
        <f>'Merluza sur Artesanal'!J20</f>
        <v>0.89399656841624275</v>
      </c>
      <c r="N60" s="24" t="str">
        <f>'Merluza sur Artesanal'!K20</f>
        <v>-</v>
      </c>
      <c r="O60" s="278">
        <v>43465</v>
      </c>
    </row>
    <row r="61" spans="1:15" x14ac:dyDescent="0.25">
      <c r="A61" s="24" t="s">
        <v>295</v>
      </c>
      <c r="B61" s="24" t="s">
        <v>283</v>
      </c>
      <c r="C61" s="24" t="s">
        <v>294</v>
      </c>
      <c r="D61" s="24" t="s">
        <v>296</v>
      </c>
      <c r="E61" s="24" t="s">
        <v>304</v>
      </c>
      <c r="F61" s="24" t="s">
        <v>286</v>
      </c>
      <c r="G61" s="24" t="s">
        <v>288</v>
      </c>
      <c r="H61" s="24">
        <f>'Merluza sur Artesanal'!L19</f>
        <v>2041.636</v>
      </c>
      <c r="I61" s="24">
        <f>'Merluza sur Artesanal'!M19</f>
        <v>0</v>
      </c>
      <c r="J61" s="24">
        <f>'Merluza sur Artesanal'!N19</f>
        <v>2041.636</v>
      </c>
      <c r="K61" s="24">
        <f>'Merluza sur Artesanal'!O19</f>
        <v>1972.5030000000002</v>
      </c>
      <c r="L61" s="24">
        <f>'Merluza sur Artesanal'!P19</f>
        <v>69.132999999999811</v>
      </c>
      <c r="M61" s="251">
        <f>'Merluza sur Artesanal'!Q19</f>
        <v>0.96613843016091028</v>
      </c>
      <c r="N61" s="24" t="s">
        <v>410</v>
      </c>
      <c r="O61" s="278">
        <v>43465</v>
      </c>
    </row>
    <row r="62" spans="1:15" x14ac:dyDescent="0.25">
      <c r="A62" s="24" t="s">
        <v>295</v>
      </c>
      <c r="B62" s="24" t="s">
        <v>283</v>
      </c>
      <c r="C62" s="24" t="s">
        <v>294</v>
      </c>
      <c r="D62" s="24" t="s">
        <v>296</v>
      </c>
      <c r="E62" s="24" t="s">
        <v>307</v>
      </c>
      <c r="F62" s="24" t="s">
        <v>286</v>
      </c>
      <c r="G62" s="24" t="s">
        <v>297</v>
      </c>
      <c r="H62" s="24">
        <f>'Merluza sur Artesanal'!E21</f>
        <v>583.78399999999999</v>
      </c>
      <c r="I62" s="24">
        <f>'Merluza sur Artesanal'!F21</f>
        <v>-500</v>
      </c>
      <c r="J62" s="24">
        <f>'Merluza sur Artesanal'!G21</f>
        <v>83.783999999999992</v>
      </c>
      <c r="K62" s="24">
        <f>'Merluza sur Artesanal'!H21</f>
        <v>182.41300000000001</v>
      </c>
      <c r="L62" s="24">
        <f>'Merluza sur Artesanal'!I21</f>
        <v>-98.629000000000019</v>
      </c>
      <c r="M62" s="251">
        <f>'Merluza sur Artesanal'!J21</f>
        <v>2.1771818008211596</v>
      </c>
      <c r="N62" s="261" t="str">
        <f>'Merluza sur Artesanal'!K21</f>
        <v>-</v>
      </c>
      <c r="O62" s="278">
        <v>43465</v>
      </c>
    </row>
    <row r="63" spans="1:15" x14ac:dyDescent="0.25">
      <c r="A63" s="24" t="s">
        <v>295</v>
      </c>
      <c r="B63" s="24" t="s">
        <v>283</v>
      </c>
      <c r="C63" s="24" t="s">
        <v>294</v>
      </c>
      <c r="D63" s="24" t="s">
        <v>296</v>
      </c>
      <c r="E63" s="24" t="s">
        <v>307</v>
      </c>
      <c r="F63" s="24" t="s">
        <v>298</v>
      </c>
      <c r="G63" s="24" t="s">
        <v>288</v>
      </c>
      <c r="H63" s="24">
        <f>'Merluza sur Artesanal'!E22</f>
        <v>130.35899999999998</v>
      </c>
      <c r="I63" s="24">
        <f>'Merluza sur Artesanal'!F22</f>
        <v>0</v>
      </c>
      <c r="J63" s="24">
        <f>'Merluza sur Artesanal'!G22</f>
        <v>31.729999999999961</v>
      </c>
      <c r="K63" s="24">
        <f>'Merluza sur Artesanal'!H22</f>
        <v>33.697000000000003</v>
      </c>
      <c r="L63" s="24">
        <f>'Merluza sur Artesanal'!I22</f>
        <v>-1.9670000000000414</v>
      </c>
      <c r="M63" s="251">
        <f>'Merluza sur Artesanal'!J22</f>
        <v>1.0619918058619617</v>
      </c>
      <c r="N63" s="261" t="str">
        <f>'Merluza sur Artesanal'!K22</f>
        <v>-</v>
      </c>
      <c r="O63" s="278">
        <v>43465</v>
      </c>
    </row>
    <row r="64" spans="1:15" x14ac:dyDescent="0.25">
      <c r="A64" s="24" t="s">
        <v>295</v>
      </c>
      <c r="B64" s="24" t="s">
        <v>283</v>
      </c>
      <c r="C64" s="24" t="s">
        <v>294</v>
      </c>
      <c r="D64" s="24" t="s">
        <v>296</v>
      </c>
      <c r="E64" s="24" t="s">
        <v>307</v>
      </c>
      <c r="F64" s="24" t="s">
        <v>286</v>
      </c>
      <c r="G64" s="24" t="s">
        <v>288</v>
      </c>
      <c r="H64" s="24">
        <f>'Merluza sur Artesanal'!L21</f>
        <v>714.14300000000003</v>
      </c>
      <c r="I64" s="24">
        <f>'Merluza sur Artesanal'!M21</f>
        <v>-500</v>
      </c>
      <c r="J64" s="24">
        <f>'Merluza sur Artesanal'!N21</f>
        <v>214.14300000000003</v>
      </c>
      <c r="K64" s="24">
        <f>'Merluza sur Artesanal'!O21</f>
        <v>216.11</v>
      </c>
      <c r="L64" s="24">
        <f>'Merluza sur Artesanal'!P21</f>
        <v>-1.9669999999999845</v>
      </c>
      <c r="M64" s="251">
        <f>'Merluza sur Artesanal'!Q21</f>
        <v>1.0091854508435951</v>
      </c>
      <c r="N64" s="24" t="s">
        <v>410</v>
      </c>
      <c r="O64" s="278">
        <v>43465</v>
      </c>
    </row>
    <row r="65" spans="1:15" x14ac:dyDescent="0.25">
      <c r="A65" s="24" t="s">
        <v>295</v>
      </c>
      <c r="B65" s="24" t="s">
        <v>283</v>
      </c>
      <c r="C65" s="24" t="s">
        <v>294</v>
      </c>
      <c r="D65" s="24" t="s">
        <v>296</v>
      </c>
      <c r="E65" s="24" t="s">
        <v>308</v>
      </c>
      <c r="F65" s="24" t="s">
        <v>286</v>
      </c>
      <c r="G65" s="24" t="s">
        <v>297</v>
      </c>
      <c r="H65" s="24">
        <f>'Merluza sur Artesanal'!E23</f>
        <v>391.75</v>
      </c>
      <c r="I65" s="24">
        <f>'Merluza sur Artesanal'!F23</f>
        <v>0</v>
      </c>
      <c r="J65" s="24">
        <f>'Merluza sur Artesanal'!G23</f>
        <v>391.75</v>
      </c>
      <c r="K65" s="24">
        <f>'Merluza sur Artesanal'!H23</f>
        <v>241.38800000000001</v>
      </c>
      <c r="L65" s="24">
        <f>'Merluza sur Artesanal'!I23</f>
        <v>150.36199999999999</v>
      </c>
      <c r="M65" s="251">
        <f>'Merluza sur Artesanal'!J23</f>
        <v>0.61617868538608811</v>
      </c>
      <c r="N65" s="24" t="str">
        <f>'Merluza sur Artesanal'!K23</f>
        <v>-</v>
      </c>
      <c r="O65" s="278">
        <v>43465</v>
      </c>
    </row>
    <row r="66" spans="1:15" x14ac:dyDescent="0.25">
      <c r="A66" s="24" t="s">
        <v>295</v>
      </c>
      <c r="B66" s="24" t="s">
        <v>283</v>
      </c>
      <c r="C66" s="24" t="s">
        <v>294</v>
      </c>
      <c r="D66" s="24" t="s">
        <v>296</v>
      </c>
      <c r="E66" s="24" t="s">
        <v>308</v>
      </c>
      <c r="F66" s="24" t="s">
        <v>298</v>
      </c>
      <c r="G66" s="24" t="s">
        <v>288</v>
      </c>
      <c r="H66" s="24">
        <f>'Merluza sur Artesanal'!E24</f>
        <v>225.25399999999999</v>
      </c>
      <c r="I66" s="24">
        <f>'Merluza sur Artesanal'!F24</f>
        <v>-122.223</v>
      </c>
      <c r="J66" s="24">
        <f>'Merluza sur Artesanal'!G24</f>
        <v>253.39299999999997</v>
      </c>
      <c r="K66" s="24">
        <f>'Merluza sur Artesanal'!H24</f>
        <v>222.23400000000001</v>
      </c>
      <c r="L66" s="24">
        <f>'Merluza sur Artesanal'!I24</f>
        <v>31.158999999999963</v>
      </c>
      <c r="M66" s="251">
        <f>'Merluza sur Artesanal'!J24</f>
        <v>0.87703290935424438</v>
      </c>
      <c r="N66" s="24" t="str">
        <f>'Merluza sur Artesanal'!K24</f>
        <v>-</v>
      </c>
      <c r="O66" s="278">
        <v>43465</v>
      </c>
    </row>
    <row r="67" spans="1:15" x14ac:dyDescent="0.25">
      <c r="A67" s="24" t="s">
        <v>295</v>
      </c>
      <c r="B67" s="24" t="s">
        <v>283</v>
      </c>
      <c r="C67" s="24" t="s">
        <v>294</v>
      </c>
      <c r="D67" s="24" t="s">
        <v>296</v>
      </c>
      <c r="E67" s="24" t="s">
        <v>308</v>
      </c>
      <c r="F67" s="24" t="s">
        <v>286</v>
      </c>
      <c r="G67" s="24" t="s">
        <v>288</v>
      </c>
      <c r="H67" s="24">
        <f>'Merluza sur Artesanal'!L23</f>
        <v>617.00400000000002</v>
      </c>
      <c r="I67" s="24">
        <f>'Merluza sur Artesanal'!M23</f>
        <v>-122.223</v>
      </c>
      <c r="J67" s="24">
        <f>'Merluza sur Artesanal'!N23</f>
        <v>494.78100000000001</v>
      </c>
      <c r="K67" s="24">
        <f>'Merluza sur Artesanal'!O23</f>
        <v>463.62200000000001</v>
      </c>
      <c r="L67" s="24">
        <f>'Merluza sur Artesanal'!P23</f>
        <v>31.158999999999992</v>
      </c>
      <c r="M67" s="251">
        <f>'Merluza sur Artesanal'!Q23</f>
        <v>0.93702466343695501</v>
      </c>
      <c r="N67" s="24" t="s">
        <v>410</v>
      </c>
      <c r="O67" s="278">
        <v>43465</v>
      </c>
    </row>
    <row r="68" spans="1:15" x14ac:dyDescent="0.25">
      <c r="A68" s="24" t="s">
        <v>295</v>
      </c>
      <c r="B68" s="24" t="s">
        <v>283</v>
      </c>
      <c r="C68" s="24" t="s">
        <v>294</v>
      </c>
      <c r="D68" s="24" t="s">
        <v>296</v>
      </c>
      <c r="E68" s="24" t="s">
        <v>305</v>
      </c>
      <c r="F68" s="24" t="s">
        <v>286</v>
      </c>
      <c r="G68" s="24" t="s">
        <v>297</v>
      </c>
      <c r="H68" s="24">
        <f>'Merluza sur Artesanal'!E25</f>
        <v>70.216999999999999</v>
      </c>
      <c r="I68" s="24">
        <f>'Merluza sur Artesanal'!F25</f>
        <v>-99</v>
      </c>
      <c r="J68" s="24">
        <f>'Merluza sur Artesanal'!G25</f>
        <v>-28.783000000000001</v>
      </c>
      <c r="K68" s="24">
        <f>'Merluza sur Artesanal'!H25</f>
        <v>2.4620000000000002</v>
      </c>
      <c r="L68" s="24">
        <f>'Merluza sur Artesanal'!I25</f>
        <v>-31.245000000000001</v>
      </c>
      <c r="M68" s="251">
        <f>'Merluza sur Artesanal'!J25</f>
        <v>-8.5536601466143211E-2</v>
      </c>
      <c r="N68" s="261">
        <f>'Merluza sur Artesanal'!K25</f>
        <v>43167</v>
      </c>
      <c r="O68" s="278">
        <v>43465</v>
      </c>
    </row>
    <row r="69" spans="1:15" x14ac:dyDescent="0.25">
      <c r="A69" s="24" t="s">
        <v>295</v>
      </c>
      <c r="B69" s="24" t="s">
        <v>283</v>
      </c>
      <c r="C69" s="24" t="s">
        <v>294</v>
      </c>
      <c r="D69" s="24" t="s">
        <v>296</v>
      </c>
      <c r="E69" s="24" t="s">
        <v>305</v>
      </c>
      <c r="F69" s="24" t="s">
        <v>298</v>
      </c>
      <c r="G69" s="24" t="s">
        <v>288</v>
      </c>
      <c r="H69" s="24">
        <f>'Merluza sur Artesanal'!E26</f>
        <v>40.375</v>
      </c>
      <c r="I69" s="24">
        <f>'Merluza sur Artesanal'!F26</f>
        <v>-9.1</v>
      </c>
      <c r="J69" s="24">
        <f>'Merluza sur Artesanal'!G26</f>
        <v>2.9999999999997584E-2</v>
      </c>
      <c r="K69" s="24">
        <f>'Merluza sur Artesanal'!H26</f>
        <v>0</v>
      </c>
      <c r="L69" s="24">
        <f>'Merluza sur Artesanal'!I26</f>
        <v>2.9999999999997584E-2</v>
      </c>
      <c r="M69" s="251">
        <f>'Merluza sur Artesanal'!J26</f>
        <v>0</v>
      </c>
      <c r="N69" s="261" t="str">
        <f>'Merluza sur Artesanal'!K26</f>
        <v>-</v>
      </c>
      <c r="O69" s="278">
        <v>43465</v>
      </c>
    </row>
    <row r="70" spans="1:15" x14ac:dyDescent="0.25">
      <c r="A70" s="24" t="s">
        <v>295</v>
      </c>
      <c r="B70" s="24" t="s">
        <v>283</v>
      </c>
      <c r="C70" s="24" t="s">
        <v>294</v>
      </c>
      <c r="D70" s="24" t="s">
        <v>296</v>
      </c>
      <c r="E70" s="24" t="s">
        <v>305</v>
      </c>
      <c r="F70" s="24" t="s">
        <v>286</v>
      </c>
      <c r="G70" s="24" t="s">
        <v>288</v>
      </c>
      <c r="H70" s="24">
        <f>'Merluza sur Artesanal'!L25</f>
        <v>110.592</v>
      </c>
      <c r="I70" s="24">
        <f>'Merluza sur Artesanal'!M25</f>
        <v>-108.1</v>
      </c>
      <c r="J70" s="24">
        <f>'Merluza sur Artesanal'!N25</f>
        <v>2.4920000000000044</v>
      </c>
      <c r="K70" s="24">
        <f>'Merluza sur Artesanal'!O25</f>
        <v>2.4620000000000002</v>
      </c>
      <c r="L70" s="24">
        <f>'Merluza sur Artesanal'!P25</f>
        <v>3.0000000000004245E-2</v>
      </c>
      <c r="M70" s="251">
        <f>'Merluza sur Artesanal'!Q25</f>
        <v>0.98796147672552004</v>
      </c>
      <c r="N70" s="24" t="s">
        <v>410</v>
      </c>
      <c r="O70" s="278">
        <v>43465</v>
      </c>
    </row>
    <row r="71" spans="1:15" x14ac:dyDescent="0.25">
      <c r="A71" s="24" t="s">
        <v>295</v>
      </c>
      <c r="B71" s="24" t="s">
        <v>283</v>
      </c>
      <c r="C71" s="24" t="s">
        <v>294</v>
      </c>
      <c r="D71" s="24" t="s">
        <v>296</v>
      </c>
      <c r="E71" s="24" t="s">
        <v>306</v>
      </c>
      <c r="F71" s="24" t="s">
        <v>286</v>
      </c>
      <c r="G71" s="24" t="s">
        <v>297</v>
      </c>
      <c r="H71" s="24">
        <f>'Merluza sur Artesanal'!E27</f>
        <v>342.71</v>
      </c>
      <c r="I71" s="24">
        <f>'Merluza sur Artesanal'!F27</f>
        <v>0</v>
      </c>
      <c r="J71" s="24">
        <f>'Merluza sur Artesanal'!G27</f>
        <v>342.71</v>
      </c>
      <c r="K71" s="24">
        <f>'Merluza sur Artesanal'!H27</f>
        <v>337.69299999999998</v>
      </c>
      <c r="L71" s="24">
        <f>'Merluza sur Artesanal'!I27</f>
        <v>5.0169999999999959</v>
      </c>
      <c r="M71" s="251">
        <f>'Merluza sur Artesanal'!J27</f>
        <v>0.98536080067695719</v>
      </c>
      <c r="N71" s="24" t="str">
        <f>'Merluza sur Artesanal'!K27</f>
        <v>-</v>
      </c>
      <c r="O71" s="278">
        <v>43465</v>
      </c>
    </row>
    <row r="72" spans="1:15" x14ac:dyDescent="0.25">
      <c r="A72" s="24" t="s">
        <v>295</v>
      </c>
      <c r="B72" s="24" t="s">
        <v>283</v>
      </c>
      <c r="C72" s="24" t="s">
        <v>294</v>
      </c>
      <c r="D72" s="24" t="s">
        <v>296</v>
      </c>
      <c r="E72" s="24" t="s">
        <v>306</v>
      </c>
      <c r="F72" s="24" t="s">
        <v>298</v>
      </c>
      <c r="G72" s="24" t="s">
        <v>288</v>
      </c>
      <c r="H72" s="24">
        <f>'Merluza sur Artesanal'!E28</f>
        <v>197.05600000000001</v>
      </c>
      <c r="I72" s="24">
        <f>'Merluza sur Artesanal'!F28</f>
        <v>-77.777000000000001</v>
      </c>
      <c r="J72" s="24">
        <f>'Merluza sur Artesanal'!G28</f>
        <v>124.29600000000001</v>
      </c>
      <c r="K72" s="24">
        <f>'Merluza sur Artesanal'!H28</f>
        <v>130.81800000000001</v>
      </c>
      <c r="L72" s="24">
        <f>'Merluza sur Artesanal'!I28</f>
        <v>-6.5220000000000056</v>
      </c>
      <c r="M72" s="251">
        <f>'Merluza sur Artesanal'!J28</f>
        <v>1.052471519598378</v>
      </c>
      <c r="N72" s="24" t="str">
        <f>'Merluza sur Artesanal'!K28</f>
        <v>-</v>
      </c>
      <c r="O72" s="278">
        <v>43465</v>
      </c>
    </row>
    <row r="73" spans="1:15" x14ac:dyDescent="0.25">
      <c r="A73" s="24" t="s">
        <v>295</v>
      </c>
      <c r="B73" s="24" t="s">
        <v>283</v>
      </c>
      <c r="C73" s="24" t="s">
        <v>294</v>
      </c>
      <c r="D73" s="24" t="s">
        <v>296</v>
      </c>
      <c r="E73" s="24" t="s">
        <v>306</v>
      </c>
      <c r="F73" s="24" t="s">
        <v>286</v>
      </c>
      <c r="G73" s="24" t="s">
        <v>288</v>
      </c>
      <c r="H73" s="24">
        <f>'Merluza sur Artesanal'!L27</f>
        <v>539.76599999999996</v>
      </c>
      <c r="I73" s="24">
        <f>'Merluza sur Artesanal'!M27</f>
        <v>-77.777000000000001</v>
      </c>
      <c r="J73" s="24">
        <f>'Merluza sur Artesanal'!N27</f>
        <v>461.98899999999998</v>
      </c>
      <c r="K73" s="24">
        <f>'Merluza sur Artesanal'!O27</f>
        <v>468.51099999999997</v>
      </c>
      <c r="L73" s="24">
        <f>'Merluza sur Artesanal'!P27</f>
        <v>-6.5219999999999914</v>
      </c>
      <c r="M73" s="251">
        <f>'Merluza sur Artesanal'!Q27</f>
        <v>1.0141172192411507</v>
      </c>
      <c r="N73" s="24" t="s">
        <v>410</v>
      </c>
      <c r="O73" s="278">
        <v>43465</v>
      </c>
    </row>
    <row r="74" spans="1:15" x14ac:dyDescent="0.25">
      <c r="A74" s="24" t="s">
        <v>295</v>
      </c>
      <c r="B74" s="24" t="s">
        <v>283</v>
      </c>
      <c r="C74" s="24" t="s">
        <v>294</v>
      </c>
      <c r="D74" s="24" t="s">
        <v>296</v>
      </c>
      <c r="E74" s="24" t="s">
        <v>309</v>
      </c>
      <c r="F74" s="24" t="s">
        <v>286</v>
      </c>
      <c r="G74" s="24" t="s">
        <v>297</v>
      </c>
      <c r="H74" s="24">
        <f>'Merluza sur Artesanal'!E29</f>
        <v>21.314</v>
      </c>
      <c r="I74" s="24">
        <f>'Merluza sur Artesanal'!F29</f>
        <v>0</v>
      </c>
      <c r="J74" s="24">
        <f>'Merluza sur Artesanal'!G29</f>
        <v>21.314</v>
      </c>
      <c r="K74" s="24">
        <f>'Merluza sur Artesanal'!H29</f>
        <v>28.766999999999999</v>
      </c>
      <c r="L74" s="24">
        <f>'Merluza sur Artesanal'!I29</f>
        <v>-7.4529999999999994</v>
      </c>
      <c r="M74" s="251">
        <f>'Merluza sur Artesanal'!J29</f>
        <v>1.349676269118889</v>
      </c>
      <c r="N74" s="261">
        <f>'Merluza sur Artesanal'!K29</f>
        <v>43117</v>
      </c>
      <c r="O74" s="278">
        <v>43465</v>
      </c>
    </row>
    <row r="75" spans="1:15" x14ac:dyDescent="0.25">
      <c r="A75" s="24" t="s">
        <v>295</v>
      </c>
      <c r="B75" s="24" t="s">
        <v>283</v>
      </c>
      <c r="C75" s="24" t="s">
        <v>294</v>
      </c>
      <c r="D75" s="24" t="s">
        <v>296</v>
      </c>
      <c r="E75" s="24" t="s">
        <v>309</v>
      </c>
      <c r="F75" s="24" t="s">
        <v>298</v>
      </c>
      <c r="G75" s="24" t="s">
        <v>288</v>
      </c>
      <c r="H75" s="24">
        <f>'Merluza sur Artesanal'!E30</f>
        <v>12.255000000000001</v>
      </c>
      <c r="I75" s="24">
        <f>'Merluza sur Artesanal'!F30</f>
        <v>0</v>
      </c>
      <c r="J75" s="24">
        <f>'Merluza sur Artesanal'!G30</f>
        <v>4.8020000000000014</v>
      </c>
      <c r="K75" s="24">
        <f>'Merluza sur Artesanal'!H30</f>
        <v>2.387</v>
      </c>
      <c r="L75" s="24">
        <f>'Merluza sur Artesanal'!I30</f>
        <v>2.4150000000000014</v>
      </c>
      <c r="M75" s="251">
        <f>'Merluza sur Artesanal'!J30</f>
        <v>0.49708454810495611</v>
      </c>
      <c r="N75" s="261" t="str">
        <f>'Merluza sur Artesanal'!K30</f>
        <v>-</v>
      </c>
      <c r="O75" s="278">
        <v>43465</v>
      </c>
    </row>
    <row r="76" spans="1:15" x14ac:dyDescent="0.25">
      <c r="A76" s="24" t="s">
        <v>295</v>
      </c>
      <c r="B76" s="24" t="s">
        <v>283</v>
      </c>
      <c r="C76" s="24" t="s">
        <v>294</v>
      </c>
      <c r="D76" s="24" t="s">
        <v>296</v>
      </c>
      <c r="E76" s="24" t="s">
        <v>309</v>
      </c>
      <c r="F76" s="24" t="s">
        <v>286</v>
      </c>
      <c r="G76" s="24" t="s">
        <v>288</v>
      </c>
      <c r="H76" s="24">
        <f>'Merluza sur Artesanal'!L29</f>
        <v>33.569000000000003</v>
      </c>
      <c r="I76" s="24">
        <f>'Merluza sur Artesanal'!M29</f>
        <v>0</v>
      </c>
      <c r="J76" s="24">
        <f>'Merluza sur Artesanal'!N29</f>
        <v>33.569000000000003</v>
      </c>
      <c r="K76" s="24">
        <f>'Merluza sur Artesanal'!O29</f>
        <v>31.154</v>
      </c>
      <c r="L76" s="24">
        <f>'Merluza sur Artesanal'!P29</f>
        <v>2.4150000000000027</v>
      </c>
      <c r="M76" s="251">
        <f>'Merluza sur Artesanal'!Q29</f>
        <v>0.92805862551759055</v>
      </c>
      <c r="N76" s="24" t="s">
        <v>410</v>
      </c>
      <c r="O76" s="278">
        <v>43465</v>
      </c>
    </row>
    <row r="77" spans="1:15" x14ac:dyDescent="0.25">
      <c r="A77" s="24" t="s">
        <v>310</v>
      </c>
      <c r="B77" s="24" t="s">
        <v>283</v>
      </c>
      <c r="C77" s="24" t="s">
        <v>311</v>
      </c>
      <c r="D77" s="24" t="s">
        <v>347</v>
      </c>
      <c r="E77" s="24" t="s">
        <v>312</v>
      </c>
      <c r="F77" s="24" t="s">
        <v>286</v>
      </c>
      <c r="G77" s="24" t="s">
        <v>297</v>
      </c>
      <c r="H77" s="2">
        <f>'Merluza sur Artesanal'!H37</f>
        <v>25.681565329200001</v>
      </c>
      <c r="I77" s="2">
        <f>'Merluza sur Artesanal'!I37</f>
        <v>-36.975000000000001</v>
      </c>
      <c r="J77" s="2">
        <f>'Merluza sur Artesanal'!J37</f>
        <v>-11.2934346708</v>
      </c>
      <c r="K77" s="2">
        <f>'Merluza sur Artesanal'!K37</f>
        <v>0</v>
      </c>
      <c r="L77" s="2">
        <f>'Merluza sur Artesanal'!L37</f>
        <v>-11.2934346708</v>
      </c>
      <c r="M77" s="251">
        <f>'Merluza sur Artesanal'!M37</f>
        <v>0</v>
      </c>
      <c r="N77" s="261">
        <f>'Merluza sur Artesanal'!N37</f>
        <v>43166</v>
      </c>
      <c r="O77" s="278">
        <v>43465</v>
      </c>
    </row>
    <row r="78" spans="1:15" x14ac:dyDescent="0.25">
      <c r="A78" s="24" t="s">
        <v>310</v>
      </c>
      <c r="B78" s="24" t="s">
        <v>283</v>
      </c>
      <c r="C78" s="24" t="s">
        <v>311</v>
      </c>
      <c r="D78" s="24" t="s">
        <v>347</v>
      </c>
      <c r="E78" s="24" t="s">
        <v>312</v>
      </c>
      <c r="F78" s="24" t="s">
        <v>298</v>
      </c>
      <c r="G78" s="24" t="s">
        <v>288</v>
      </c>
      <c r="H78" s="2">
        <f>'Merluza sur Artesanal'!H38</f>
        <v>14.7635493984</v>
      </c>
      <c r="I78" s="24">
        <f>'Merluza sur Artesanal'!I38</f>
        <v>-3.4</v>
      </c>
      <c r="J78" s="2">
        <f>'Merluza sur Artesanal'!J38</f>
        <v>7.0114727600000037E-2</v>
      </c>
      <c r="K78" s="24">
        <f>'Merluza sur Artesanal'!K38</f>
        <v>0</v>
      </c>
      <c r="L78" s="2">
        <f>'Merluza sur Artesanal'!L38</f>
        <v>7.0114727600000037E-2</v>
      </c>
      <c r="M78" s="251">
        <f>'Merluza sur Artesanal'!M38</f>
        <v>0</v>
      </c>
      <c r="N78" s="261" t="str">
        <f>'Merluza sur Artesanal'!N38</f>
        <v>-</v>
      </c>
      <c r="O78" s="278">
        <v>43465</v>
      </c>
    </row>
    <row r="79" spans="1:15" x14ac:dyDescent="0.25">
      <c r="A79" s="24" t="s">
        <v>310</v>
      </c>
      <c r="B79" s="24" t="s">
        <v>283</v>
      </c>
      <c r="C79" s="24" t="s">
        <v>311</v>
      </c>
      <c r="D79" s="24" t="s">
        <v>347</v>
      </c>
      <c r="E79" s="24" t="s">
        <v>312</v>
      </c>
      <c r="F79" s="24" t="s">
        <v>286</v>
      </c>
      <c r="G79" s="24" t="s">
        <v>288</v>
      </c>
      <c r="H79" s="2">
        <f>'Merluza sur Artesanal'!O37</f>
        <v>40.4451147276</v>
      </c>
      <c r="I79" s="2">
        <f>'Merluza sur Artesanal'!P37</f>
        <v>-40.375</v>
      </c>
      <c r="J79" s="2">
        <f>'Merluza sur Artesanal'!Q37</f>
        <v>7.0114727600000037E-2</v>
      </c>
      <c r="K79" s="2">
        <f>'Merluza sur Artesanal'!R37</f>
        <v>0</v>
      </c>
      <c r="L79" s="2">
        <f>'Merluza sur Artesanal'!S37</f>
        <v>7.0114727600000037E-2</v>
      </c>
      <c r="M79" s="251">
        <f>'Merluza sur Artesanal'!T37</f>
        <v>0</v>
      </c>
      <c r="N79" s="261" t="s">
        <v>410</v>
      </c>
      <c r="O79" s="278">
        <v>43465</v>
      </c>
    </row>
    <row r="80" spans="1:15" x14ac:dyDescent="0.25">
      <c r="A80" s="24" t="s">
        <v>310</v>
      </c>
      <c r="B80" s="24" t="s">
        <v>283</v>
      </c>
      <c r="C80" s="24" t="s">
        <v>311</v>
      </c>
      <c r="D80" s="24" t="s">
        <v>347</v>
      </c>
      <c r="E80" s="24" t="s">
        <v>316</v>
      </c>
      <c r="F80" s="24" t="s">
        <v>286</v>
      </c>
      <c r="G80" s="24" t="s">
        <v>297</v>
      </c>
      <c r="H80" s="2">
        <f>'Merluza sur Artesanal'!H39</f>
        <v>30.4971174565</v>
      </c>
      <c r="I80" s="2">
        <f>'Merluza sur Artesanal'!I39</f>
        <v>-47.99</v>
      </c>
      <c r="J80" s="2">
        <f>'Merluza sur Artesanal'!J39</f>
        <v>-17.492882543500002</v>
      </c>
      <c r="K80" s="2">
        <f>'Merluza sur Artesanal'!K39</f>
        <v>3.9E-2</v>
      </c>
      <c r="L80" s="2">
        <f>'Merluza sur Artesanal'!L39</f>
        <v>-17.531882543500004</v>
      </c>
      <c r="M80" s="251">
        <f>'Merluza sur Artesanal'!M39</f>
        <v>0</v>
      </c>
      <c r="N80" s="261">
        <f>'Merluza sur Artesanal'!N39</f>
        <v>43166</v>
      </c>
      <c r="O80" s="278">
        <v>43465</v>
      </c>
    </row>
    <row r="81" spans="1:15" x14ac:dyDescent="0.25">
      <c r="A81" s="24" t="s">
        <v>310</v>
      </c>
      <c r="B81" s="24" t="s">
        <v>283</v>
      </c>
      <c r="C81" s="24" t="s">
        <v>311</v>
      </c>
      <c r="D81" s="24" t="s">
        <v>347</v>
      </c>
      <c r="E81" s="24" t="s">
        <v>316</v>
      </c>
      <c r="F81" s="24" t="s">
        <v>298</v>
      </c>
      <c r="G81" s="24" t="s">
        <v>288</v>
      </c>
      <c r="H81" s="2">
        <f>'Merluza sur Artesanal'!H40</f>
        <v>17.531863588</v>
      </c>
      <c r="I81" s="2">
        <f>'Merluza sur Artesanal'!I40</f>
        <v>0</v>
      </c>
      <c r="J81" s="2">
        <f>'Merluza sur Artesanal'!J40</f>
        <v>-1.8955500003414727E-5</v>
      </c>
      <c r="K81" s="2">
        <f>'Merluza sur Artesanal'!K40</f>
        <v>0</v>
      </c>
      <c r="L81" s="2">
        <f>'Merluza sur Artesanal'!L40</f>
        <v>-1.8955500003414727E-5</v>
      </c>
      <c r="M81" s="251">
        <f>'Merluza sur Artesanal'!M40</f>
        <v>0</v>
      </c>
      <c r="N81" s="261">
        <f>'Merluza sur Artesanal'!N39</f>
        <v>43166</v>
      </c>
      <c r="O81" s="278">
        <v>43465</v>
      </c>
    </row>
    <row r="82" spans="1:15" x14ac:dyDescent="0.25">
      <c r="A82" s="24" t="s">
        <v>310</v>
      </c>
      <c r="B82" s="24" t="s">
        <v>283</v>
      </c>
      <c r="C82" s="24" t="s">
        <v>311</v>
      </c>
      <c r="D82" s="24" t="s">
        <v>347</v>
      </c>
      <c r="E82" s="24" t="s">
        <v>316</v>
      </c>
      <c r="F82" s="24" t="s">
        <v>286</v>
      </c>
      <c r="G82" s="24" t="s">
        <v>288</v>
      </c>
      <c r="H82" s="2">
        <f>'Merluza sur Artesanal'!O39</f>
        <v>48.0289810445</v>
      </c>
      <c r="I82" s="2">
        <f>'Merluza sur Artesanal'!P39</f>
        <v>-47.99</v>
      </c>
      <c r="J82" s="2">
        <f>'Merluza sur Artesanal'!Q39</f>
        <v>3.8981044499998063E-2</v>
      </c>
      <c r="K82" s="2">
        <f>'Merluza sur Artesanal'!R39</f>
        <v>3.9E-2</v>
      </c>
      <c r="L82" s="2">
        <f>'Merluza sur Artesanal'!S39</f>
        <v>-1.8955500001936743E-5</v>
      </c>
      <c r="M82" s="251">
        <f>'Merluza sur Artesanal'!T39</f>
        <v>1</v>
      </c>
      <c r="N82" s="261" t="s">
        <v>410</v>
      </c>
      <c r="O82" s="278">
        <v>43465</v>
      </c>
    </row>
    <row r="83" spans="1:15" x14ac:dyDescent="0.25">
      <c r="A83" s="24" t="s">
        <v>310</v>
      </c>
      <c r="B83" s="24" t="s">
        <v>283</v>
      </c>
      <c r="C83" s="24" t="s">
        <v>311</v>
      </c>
      <c r="D83" s="24" t="s">
        <v>347</v>
      </c>
      <c r="E83" s="24" t="s">
        <v>315</v>
      </c>
      <c r="F83" s="24" t="s">
        <v>286</v>
      </c>
      <c r="G83" s="24" t="s">
        <v>297</v>
      </c>
      <c r="H83" s="2">
        <f>'Merluza sur Artesanal'!H41</f>
        <v>1.0111312758</v>
      </c>
      <c r="I83" s="2">
        <f>'Merluza sur Artesanal'!I41</f>
        <v>0</v>
      </c>
      <c r="J83" s="2">
        <f>'Merluza sur Artesanal'!J41</f>
        <v>1.0111312758</v>
      </c>
      <c r="K83" s="2">
        <f>'Merluza sur Artesanal'!K41</f>
        <v>1.194</v>
      </c>
      <c r="L83" s="2">
        <f>'Merluza sur Artesanal'!L41</f>
        <v>-0.1828687242</v>
      </c>
      <c r="M83" s="251">
        <f>'Merluza sur Artesanal'!M41</f>
        <v>1.1808555709596813</v>
      </c>
      <c r="N83" s="261">
        <f>'Merluza sur Artesanal'!N41</f>
        <v>43166</v>
      </c>
      <c r="O83" s="278">
        <v>43465</v>
      </c>
    </row>
    <row r="84" spans="1:15" x14ac:dyDescent="0.25">
      <c r="A84" s="24" t="s">
        <v>310</v>
      </c>
      <c r="B84" s="24" t="s">
        <v>283</v>
      </c>
      <c r="C84" s="24" t="s">
        <v>311</v>
      </c>
      <c r="D84" s="24" t="s">
        <v>347</v>
      </c>
      <c r="E84" s="24" t="s">
        <v>315</v>
      </c>
      <c r="F84" s="24" t="s">
        <v>298</v>
      </c>
      <c r="G84" s="24" t="s">
        <v>288</v>
      </c>
      <c r="H84" s="2">
        <f>'Merluza sur Artesanal'!H42</f>
        <v>0.58126856159999996</v>
      </c>
      <c r="I84" s="2">
        <f>'Merluza sur Artesanal'!I42</f>
        <v>0</v>
      </c>
      <c r="J84" s="2">
        <f>'Merluza sur Artesanal'!J42</f>
        <v>0.39839983739999996</v>
      </c>
      <c r="K84" s="2">
        <f>'Merluza sur Artesanal'!K42</f>
        <v>0.38900000000000001</v>
      </c>
      <c r="L84" s="2">
        <f>'Merluza sur Artesanal'!L42</f>
        <v>9.3998373999999441E-3</v>
      </c>
      <c r="M84" s="251">
        <f>'Merluza sur Artesanal'!M42</f>
        <v>0.97640602099301976</v>
      </c>
      <c r="N84" s="261">
        <f>'Merluza sur Artesanal'!N41</f>
        <v>43166</v>
      </c>
      <c r="O84" s="278">
        <v>43465</v>
      </c>
    </row>
    <row r="85" spans="1:15" x14ac:dyDescent="0.25">
      <c r="A85" s="24" t="s">
        <v>310</v>
      </c>
      <c r="B85" s="24" t="s">
        <v>283</v>
      </c>
      <c r="C85" s="24" t="s">
        <v>311</v>
      </c>
      <c r="D85" s="24" t="s">
        <v>347</v>
      </c>
      <c r="E85" s="24" t="s">
        <v>315</v>
      </c>
      <c r="F85" s="24" t="s">
        <v>286</v>
      </c>
      <c r="G85" s="24" t="s">
        <v>288</v>
      </c>
      <c r="H85" s="2">
        <f>'Merluza sur Artesanal'!O41</f>
        <v>1.5923998373999999</v>
      </c>
      <c r="I85" s="2">
        <f>'Merluza sur Artesanal'!P41</f>
        <v>0</v>
      </c>
      <c r="J85" s="2">
        <f>'Merluza sur Artesanal'!Q41</f>
        <v>1.5923998373999999</v>
      </c>
      <c r="K85" s="2">
        <f>'Merluza sur Artesanal'!R41</f>
        <v>1.583</v>
      </c>
      <c r="L85" s="2">
        <f>'Merluza sur Artesanal'!S41</f>
        <v>9.3998373999999441E-3</v>
      </c>
      <c r="M85" s="251">
        <f>'Merluza sur Artesanal'!T41</f>
        <v>0.99409706206994619</v>
      </c>
      <c r="N85" s="261" t="s">
        <v>410</v>
      </c>
      <c r="O85" s="278">
        <v>43465</v>
      </c>
    </row>
    <row r="86" spans="1:15" x14ac:dyDescent="0.25">
      <c r="A86" s="24" t="s">
        <v>310</v>
      </c>
      <c r="B86" s="24" t="s">
        <v>283</v>
      </c>
      <c r="C86" s="24" t="s">
        <v>311</v>
      </c>
      <c r="D86" s="24" t="s">
        <v>347</v>
      </c>
      <c r="E86" s="24" t="s">
        <v>317</v>
      </c>
      <c r="F86" s="24" t="s">
        <v>286</v>
      </c>
      <c r="G86" s="24" t="s">
        <v>297</v>
      </c>
      <c r="H86" s="2">
        <f>'Merluza sur Artesanal'!H43</f>
        <v>1.6106606719999998</v>
      </c>
      <c r="I86" s="2">
        <f>'Merluza sur Artesanal'!I43</f>
        <v>0</v>
      </c>
      <c r="J86" s="2">
        <f>'Merluza sur Artesanal'!J43</f>
        <v>1.6106606719999998</v>
      </c>
      <c r="K86" s="2">
        <f>'Merluza sur Artesanal'!K43</f>
        <v>0.26700000000000002</v>
      </c>
      <c r="L86" s="2">
        <f>'Merluza sur Artesanal'!L43</f>
        <v>1.3436606719999999</v>
      </c>
      <c r="M86" s="251">
        <f>'Merluza sur Artesanal'!M43</f>
        <v>0.16577048452326029</v>
      </c>
      <c r="N86" s="261">
        <f>'Merluza sur Artesanal'!N43</f>
        <v>43206</v>
      </c>
      <c r="O86" s="278">
        <v>43465</v>
      </c>
    </row>
    <row r="87" spans="1:15" x14ac:dyDescent="0.25">
      <c r="A87" s="24" t="s">
        <v>310</v>
      </c>
      <c r="B87" s="24" t="s">
        <v>283</v>
      </c>
      <c r="C87" s="24" t="s">
        <v>311</v>
      </c>
      <c r="D87" s="24" t="s">
        <v>347</v>
      </c>
      <c r="E87" s="24" t="s">
        <v>317</v>
      </c>
      <c r="F87" s="24" t="s">
        <v>298</v>
      </c>
      <c r="G87" s="24" t="s">
        <v>288</v>
      </c>
      <c r="H87" s="2">
        <f>'Merluza sur Artesanal'!H44</f>
        <v>0.92591974399999999</v>
      </c>
      <c r="I87" s="2">
        <f>'Merluza sur Artesanal'!I44</f>
        <v>-2.27</v>
      </c>
      <c r="J87" s="2">
        <f>'Merluza sur Artesanal'!J44</f>
        <v>-4.1958400000008389E-4</v>
      </c>
      <c r="K87" s="2">
        <f>'Merluza sur Artesanal'!K44</f>
        <v>0</v>
      </c>
      <c r="L87" s="2">
        <f>'Merluza sur Artesanal'!L44</f>
        <v>-4.1958400000008389E-4</v>
      </c>
      <c r="M87" s="251">
        <f>'Merluza sur Artesanal'!M44</f>
        <v>0</v>
      </c>
      <c r="N87" s="261">
        <f>'Merluza sur Artesanal'!N43</f>
        <v>43206</v>
      </c>
      <c r="O87" s="278">
        <v>43465</v>
      </c>
    </row>
    <row r="88" spans="1:15" x14ac:dyDescent="0.25">
      <c r="A88" s="24" t="s">
        <v>310</v>
      </c>
      <c r="B88" s="24" t="s">
        <v>283</v>
      </c>
      <c r="C88" s="24" t="s">
        <v>311</v>
      </c>
      <c r="D88" s="24" t="s">
        <v>347</v>
      </c>
      <c r="E88" s="24" t="s">
        <v>317</v>
      </c>
      <c r="F88" s="24" t="s">
        <v>286</v>
      </c>
      <c r="G88" s="24" t="s">
        <v>288</v>
      </c>
      <c r="H88" s="2">
        <f>'Merluza sur Artesanal'!O43</f>
        <v>2.5365804159999996</v>
      </c>
      <c r="I88" s="2">
        <f>'Merluza sur Artesanal'!P43</f>
        <v>-2.27</v>
      </c>
      <c r="J88" s="2">
        <f>'Merluza sur Artesanal'!Q43</f>
        <v>0.2665804159999996</v>
      </c>
      <c r="K88" s="2">
        <f>'Merluza sur Artesanal'!R43</f>
        <v>0.26700000000000002</v>
      </c>
      <c r="L88" s="2">
        <f>'Merluza sur Artesanal'!S43</f>
        <v>-4.1958400000041696E-4</v>
      </c>
      <c r="M88" s="251">
        <f>'Merluza sur Artesanal'!T43</f>
        <v>1.0015739490780913</v>
      </c>
      <c r="N88" s="261" t="s">
        <v>410</v>
      </c>
      <c r="O88" s="278">
        <v>43465</v>
      </c>
    </row>
    <row r="89" spans="1:15" x14ac:dyDescent="0.25">
      <c r="A89" s="24" t="s">
        <v>310</v>
      </c>
      <c r="B89" s="24" t="s">
        <v>283</v>
      </c>
      <c r="C89" s="24" t="s">
        <v>311</v>
      </c>
      <c r="D89" s="24" t="s">
        <v>347</v>
      </c>
      <c r="E89" s="24" t="s">
        <v>318</v>
      </c>
      <c r="F89" s="24" t="s">
        <v>286</v>
      </c>
      <c r="G89" s="24" t="s">
        <v>297</v>
      </c>
      <c r="H89" s="2">
        <f>'Merluza sur Artesanal'!H45</f>
        <v>1.7101913170999998</v>
      </c>
      <c r="I89" s="2">
        <f>'Merluza sur Artesanal'!I45</f>
        <v>-0.314</v>
      </c>
      <c r="J89" s="2">
        <f>'Merluza sur Artesanal'!J45</f>
        <v>1.3961913170999998</v>
      </c>
      <c r="K89" s="2">
        <f>'Merluza sur Artesanal'!K45</f>
        <v>1.9219999999999999</v>
      </c>
      <c r="L89" s="2">
        <f>'Merluza sur Artesanal'!L45</f>
        <v>-0.52580868290000016</v>
      </c>
      <c r="M89" s="251">
        <f>'Merluza sur Artesanal'!M45</f>
        <v>1.3766021722525439</v>
      </c>
      <c r="N89" s="261">
        <f>'Merluza sur Artesanal'!N45</f>
        <v>43236</v>
      </c>
      <c r="O89" s="278">
        <v>43465</v>
      </c>
    </row>
    <row r="90" spans="1:15" x14ac:dyDescent="0.25">
      <c r="A90" s="24" t="s">
        <v>310</v>
      </c>
      <c r="B90" s="24" t="s">
        <v>283</v>
      </c>
      <c r="C90" s="24" t="s">
        <v>311</v>
      </c>
      <c r="D90" s="24" t="s">
        <v>347</v>
      </c>
      <c r="E90" s="24" t="s">
        <v>318</v>
      </c>
      <c r="F90" s="24" t="s">
        <v>298</v>
      </c>
      <c r="G90" s="24" t="s">
        <v>288</v>
      </c>
      <c r="H90" s="2">
        <f>'Merluza sur Artesanal'!H46</f>
        <v>0.98313687919999992</v>
      </c>
      <c r="I90" s="2">
        <f>'Merluza sur Artesanal'!I46</f>
        <v>0</v>
      </c>
      <c r="J90" s="2">
        <f>'Merluza sur Artesanal'!J46</f>
        <v>0.45732819629999977</v>
      </c>
      <c r="K90" s="2">
        <f>'Merluza sur Artesanal'!K46</f>
        <v>0.45600000000000002</v>
      </c>
      <c r="L90" s="2">
        <f>'Merluza sur Artesanal'!L46</f>
        <v>1.328196299999751E-3</v>
      </c>
      <c r="M90" s="251">
        <f>'Merluza sur Artesanal'!M46</f>
        <v>0.99709574806288903</v>
      </c>
      <c r="N90" s="261" t="str">
        <f>'Merluza sur Artesanal'!N46</f>
        <v>-</v>
      </c>
      <c r="O90" s="278">
        <v>43465</v>
      </c>
    </row>
    <row r="91" spans="1:15" x14ac:dyDescent="0.25">
      <c r="A91" s="24" t="s">
        <v>310</v>
      </c>
      <c r="B91" s="24" t="s">
        <v>283</v>
      </c>
      <c r="C91" s="24" t="s">
        <v>311</v>
      </c>
      <c r="D91" s="24" t="s">
        <v>347</v>
      </c>
      <c r="E91" s="24" t="s">
        <v>318</v>
      </c>
      <c r="F91" s="24" t="s">
        <v>286</v>
      </c>
      <c r="G91" s="24" t="s">
        <v>288</v>
      </c>
      <c r="H91" s="2">
        <f>'Merluza sur Artesanal'!O45</f>
        <v>2.6933281962999995</v>
      </c>
      <c r="I91" s="2">
        <f>'Merluza sur Artesanal'!P45</f>
        <v>-0.314</v>
      </c>
      <c r="J91" s="2">
        <f>'Merluza sur Artesanal'!Q45</f>
        <v>2.3793281962999995</v>
      </c>
      <c r="K91" s="2">
        <f>'Merluza sur Artesanal'!R45</f>
        <v>2.3780000000000001</v>
      </c>
      <c r="L91" s="2">
        <f>'Merluza sur Artesanal'!S45</f>
        <v>1.3281962999993624E-3</v>
      </c>
      <c r="M91" s="251">
        <f>'Merluza sur Artesanal'!T45</f>
        <v>0.99944177675779877</v>
      </c>
      <c r="N91" s="261" t="s">
        <v>410</v>
      </c>
      <c r="O91" s="278">
        <v>43465</v>
      </c>
    </row>
    <row r="92" spans="1:15" x14ac:dyDescent="0.25">
      <c r="A92" s="24" t="s">
        <v>310</v>
      </c>
      <c r="B92" s="24" t="s">
        <v>283</v>
      </c>
      <c r="C92" s="24" t="s">
        <v>311</v>
      </c>
      <c r="D92" s="24" t="s">
        <v>347</v>
      </c>
      <c r="E92" s="24" t="s">
        <v>319</v>
      </c>
      <c r="F92" s="24" t="s">
        <v>286</v>
      </c>
      <c r="G92" s="24" t="s">
        <v>297</v>
      </c>
      <c r="H92" s="2">
        <f>'Merluza sur Artesanal'!H47</f>
        <v>3.6947652878000001</v>
      </c>
      <c r="I92" s="2">
        <f>'Merluza sur Artesanal'!I47</f>
        <v>-5.819</v>
      </c>
      <c r="J92" s="2">
        <f>'Merluza sur Artesanal'!J47</f>
        <v>-2.1242347121999998</v>
      </c>
      <c r="K92" s="2">
        <f>'Merluza sur Artesanal'!K47</f>
        <v>0</v>
      </c>
      <c r="L92" s="2">
        <f>'Merluza sur Artesanal'!L47</f>
        <v>-2.1242347121999998</v>
      </c>
      <c r="M92" s="251">
        <f>'Merluza sur Artesanal'!M47</f>
        <v>0</v>
      </c>
      <c r="N92" s="261">
        <f>'Merluza sur Artesanal'!N47</f>
        <v>43166</v>
      </c>
      <c r="O92" s="278">
        <v>43465</v>
      </c>
    </row>
    <row r="93" spans="1:15" x14ac:dyDescent="0.25">
      <c r="A93" s="24" t="s">
        <v>310</v>
      </c>
      <c r="B93" s="24" t="s">
        <v>283</v>
      </c>
      <c r="C93" s="24" t="s">
        <v>311</v>
      </c>
      <c r="D93" s="24" t="s">
        <v>347</v>
      </c>
      <c r="E93" s="24" t="s">
        <v>319</v>
      </c>
      <c r="F93" s="24" t="s">
        <v>298</v>
      </c>
      <c r="G93" s="24" t="s">
        <v>288</v>
      </c>
      <c r="H93" s="2">
        <f>'Merluza sur Artesanal'!H48</f>
        <v>2.1240079856</v>
      </c>
      <c r="I93" s="2">
        <f>'Merluza sur Artesanal'!I48</f>
        <v>0</v>
      </c>
      <c r="J93" s="2">
        <f>'Merluza sur Artesanal'!J48</f>
        <v>-2.2672659999978251E-4</v>
      </c>
      <c r="K93" s="2">
        <f>'Merluza sur Artesanal'!K48</f>
        <v>0</v>
      </c>
      <c r="L93" s="2">
        <f>'Merluza sur Artesanal'!L48</f>
        <v>-2.2672659999978251E-4</v>
      </c>
      <c r="M93" s="251">
        <f>'Merluza sur Artesanal'!M48</f>
        <v>0</v>
      </c>
      <c r="N93" s="261">
        <f>'Merluza sur Artesanal'!N47</f>
        <v>43166</v>
      </c>
      <c r="O93" s="278">
        <v>43465</v>
      </c>
    </row>
    <row r="94" spans="1:15" x14ac:dyDescent="0.25">
      <c r="A94" s="24" t="s">
        <v>310</v>
      </c>
      <c r="B94" s="24" t="s">
        <v>283</v>
      </c>
      <c r="C94" s="24" t="s">
        <v>311</v>
      </c>
      <c r="D94" s="24" t="s">
        <v>347</v>
      </c>
      <c r="E94" s="24" t="s">
        <v>319</v>
      </c>
      <c r="F94" s="24" t="s">
        <v>286</v>
      </c>
      <c r="G94" s="24" t="s">
        <v>288</v>
      </c>
      <c r="H94" s="2">
        <f>'Merluza sur Artesanal'!O47</f>
        <v>5.8187732733999997</v>
      </c>
      <c r="I94" s="2">
        <f>'Merluza sur Artesanal'!P47</f>
        <v>-5.819</v>
      </c>
      <c r="J94" s="2">
        <f>'Merluza sur Artesanal'!Q47</f>
        <v>-2.267266000002266E-4</v>
      </c>
      <c r="K94" s="2">
        <f>'Merluza sur Artesanal'!R47</f>
        <v>0</v>
      </c>
      <c r="L94" s="2">
        <f>'Merluza sur Artesanal'!S47</f>
        <v>-2.267266000002266E-4</v>
      </c>
      <c r="M94" s="251">
        <f>'Merluza sur Artesanal'!T47</f>
        <v>0</v>
      </c>
      <c r="N94" s="261" t="s">
        <v>410</v>
      </c>
      <c r="O94" s="278">
        <v>43465</v>
      </c>
    </row>
    <row r="95" spans="1:15" x14ac:dyDescent="0.25">
      <c r="A95" s="24" t="s">
        <v>310</v>
      </c>
      <c r="B95" s="24" t="s">
        <v>283</v>
      </c>
      <c r="C95" s="24" t="s">
        <v>311</v>
      </c>
      <c r="D95" s="24" t="s">
        <v>347</v>
      </c>
      <c r="E95" s="24" t="s">
        <v>320</v>
      </c>
      <c r="F95" s="24" t="s">
        <v>286</v>
      </c>
      <c r="G95" s="24" t="s">
        <v>297</v>
      </c>
      <c r="H95" s="2">
        <f>'Merluza sur Artesanal'!H49</f>
        <v>5.1009781311999998</v>
      </c>
      <c r="I95" s="2">
        <f>'Merluza sur Artesanal'!I49</f>
        <v>-7.7530000000000001</v>
      </c>
      <c r="J95" s="2">
        <f>'Merluza sur Artesanal'!J49</f>
        <v>-2.6520218688000003</v>
      </c>
      <c r="K95" s="2">
        <f>'Merluza sur Artesanal'!K49</f>
        <v>0</v>
      </c>
      <c r="L95" s="2">
        <f>'Merluza sur Artesanal'!L49</f>
        <v>-2.6520218688000003</v>
      </c>
      <c r="M95" s="251">
        <f>'Merluza sur Artesanal'!M49</f>
        <v>0</v>
      </c>
      <c r="N95" s="261">
        <f>'Merluza sur Artesanal'!N49</f>
        <v>43166</v>
      </c>
      <c r="O95" s="278">
        <v>43465</v>
      </c>
    </row>
    <row r="96" spans="1:15" x14ac:dyDescent="0.25">
      <c r="A96" s="24" t="s">
        <v>310</v>
      </c>
      <c r="B96" s="24" t="s">
        <v>283</v>
      </c>
      <c r="C96" s="24" t="s">
        <v>311</v>
      </c>
      <c r="D96" s="24" t="s">
        <v>347</v>
      </c>
      <c r="E96" s="24" t="s">
        <v>320</v>
      </c>
      <c r="F96" s="24" t="s">
        <v>298</v>
      </c>
      <c r="G96" s="24" t="s">
        <v>288</v>
      </c>
      <c r="H96" s="2">
        <f>'Merluza sur Artesanal'!H50</f>
        <v>2.9323969023999998</v>
      </c>
      <c r="I96" s="2">
        <f>'Merluza sur Artesanal'!I50</f>
        <v>0</v>
      </c>
      <c r="J96" s="2">
        <f>'Merluza sur Artesanal'!J50</f>
        <v>0.28037503359999949</v>
      </c>
      <c r="K96" s="2">
        <f>'Merluza sur Artesanal'!K50</f>
        <v>0</v>
      </c>
      <c r="L96" s="2">
        <f>'Merluza sur Artesanal'!L50</f>
        <v>0.28037503359999949</v>
      </c>
      <c r="M96" s="251">
        <f>'Merluza sur Artesanal'!M50</f>
        <v>0</v>
      </c>
      <c r="N96" s="261" t="str">
        <f>'Merluza sur Artesanal'!N50</f>
        <v>-</v>
      </c>
      <c r="O96" s="278">
        <v>43465</v>
      </c>
    </row>
    <row r="97" spans="1:15" x14ac:dyDescent="0.25">
      <c r="A97" s="24" t="s">
        <v>310</v>
      </c>
      <c r="B97" s="24" t="s">
        <v>283</v>
      </c>
      <c r="C97" s="24" t="s">
        <v>311</v>
      </c>
      <c r="D97" s="24" t="s">
        <v>347</v>
      </c>
      <c r="E97" s="24" t="s">
        <v>320</v>
      </c>
      <c r="F97" s="24" t="s">
        <v>286</v>
      </c>
      <c r="G97" s="24" t="s">
        <v>288</v>
      </c>
      <c r="H97" s="2">
        <f>'Merluza sur Artesanal'!O49</f>
        <v>8.0333750335999987</v>
      </c>
      <c r="I97" s="2">
        <f>'Merluza sur Artesanal'!P49</f>
        <v>-7.7530000000000001</v>
      </c>
      <c r="J97" s="2">
        <f>'Merluza sur Artesanal'!Q49</f>
        <v>0.2803750335999986</v>
      </c>
      <c r="K97" s="2">
        <f>'Merluza sur Artesanal'!R49</f>
        <v>0</v>
      </c>
      <c r="L97" s="2">
        <f>'Merluza sur Artesanal'!S49</f>
        <v>0.2803750335999986</v>
      </c>
      <c r="M97" s="251">
        <f>'Merluza sur Artesanal'!T49</f>
        <v>0</v>
      </c>
      <c r="N97" s="261" t="s">
        <v>410</v>
      </c>
      <c r="O97" s="278">
        <v>43465</v>
      </c>
    </row>
    <row r="98" spans="1:15" x14ac:dyDescent="0.25">
      <c r="A98" s="24" t="s">
        <v>310</v>
      </c>
      <c r="B98" s="24" t="s">
        <v>283</v>
      </c>
      <c r="C98" s="24" t="s">
        <v>311</v>
      </c>
      <c r="D98" s="24" t="s">
        <v>347</v>
      </c>
      <c r="E98" s="24" t="s">
        <v>321</v>
      </c>
      <c r="F98" s="24" t="s">
        <v>286</v>
      </c>
      <c r="G98" s="24" t="s">
        <v>297</v>
      </c>
      <c r="H98" s="2">
        <f>'Merluza sur Artesanal'!H51</f>
        <v>6.1906902438999998</v>
      </c>
      <c r="I98" s="2">
        <f>'Merluza sur Artesanal'!I51</f>
        <v>0</v>
      </c>
      <c r="J98" s="2">
        <f>'Merluza sur Artesanal'!J51</f>
        <v>6.1906902438999998</v>
      </c>
      <c r="K98" s="2">
        <f>'Merluza sur Artesanal'!K51</f>
        <v>1.994</v>
      </c>
      <c r="L98" s="2">
        <f>'Merluza sur Artesanal'!L51</f>
        <v>4.1966902439</v>
      </c>
      <c r="M98" s="251">
        <f>'Merluza sur Artesanal'!M51</f>
        <v>0.32209655489786282</v>
      </c>
      <c r="N98" s="261">
        <f>'Merluza sur Artesanal'!N51</f>
        <v>43179</v>
      </c>
      <c r="O98" s="278">
        <v>43465</v>
      </c>
    </row>
    <row r="99" spans="1:15" x14ac:dyDescent="0.25">
      <c r="A99" s="24" t="s">
        <v>310</v>
      </c>
      <c r="B99" s="24" t="s">
        <v>283</v>
      </c>
      <c r="C99" s="24" t="s">
        <v>311</v>
      </c>
      <c r="D99" s="24" t="s">
        <v>347</v>
      </c>
      <c r="E99" s="24" t="s">
        <v>321</v>
      </c>
      <c r="F99" s="24" t="s">
        <v>298</v>
      </c>
      <c r="G99" s="24" t="s">
        <v>288</v>
      </c>
      <c r="H99" s="2">
        <f>'Merluza sur Artesanal'!H52</f>
        <v>3.5588391927999998</v>
      </c>
      <c r="I99" s="2">
        <f>'Merluza sur Artesanal'!I52</f>
        <v>-7.7549999999999999</v>
      </c>
      <c r="J99" s="2">
        <f>'Merluza sur Artesanal'!J52</f>
        <v>5.2943669999994114E-4</v>
      </c>
      <c r="K99" s="2">
        <f>'Merluza sur Artesanal'!K52</f>
        <v>0</v>
      </c>
      <c r="L99" s="2">
        <f>'Merluza sur Artesanal'!L52</f>
        <v>5.2943669999994114E-4</v>
      </c>
      <c r="M99" s="251">
        <f>'Merluza sur Artesanal'!M52</f>
        <v>0</v>
      </c>
      <c r="N99" s="261">
        <f>'Merluza sur Artesanal'!N51</f>
        <v>43179</v>
      </c>
      <c r="O99" s="278">
        <v>43465</v>
      </c>
    </row>
    <row r="100" spans="1:15" x14ac:dyDescent="0.25">
      <c r="A100" s="24" t="s">
        <v>310</v>
      </c>
      <c r="B100" s="24" t="s">
        <v>283</v>
      </c>
      <c r="C100" s="24" t="s">
        <v>311</v>
      </c>
      <c r="D100" s="24" t="s">
        <v>347</v>
      </c>
      <c r="E100" s="24" t="s">
        <v>321</v>
      </c>
      <c r="F100" s="24" t="s">
        <v>286</v>
      </c>
      <c r="G100" s="24" t="s">
        <v>288</v>
      </c>
      <c r="H100" s="2">
        <f>'Merluza sur Artesanal'!O51</f>
        <v>9.7495294366999996</v>
      </c>
      <c r="I100" s="2">
        <f>'Merluza sur Artesanal'!P51</f>
        <v>-7.7549999999999999</v>
      </c>
      <c r="J100" s="2">
        <f>'Merluza sur Artesanal'!Q51</f>
        <v>1.9945294366999997</v>
      </c>
      <c r="K100" s="2">
        <f>'Merluza sur Artesanal'!R51</f>
        <v>1.994</v>
      </c>
      <c r="L100" s="2">
        <f>'Merluza sur Artesanal'!S51</f>
        <v>5.294366999997191E-4</v>
      </c>
      <c r="M100" s="251">
        <f>'Merluza sur Artesanal'!T51</f>
        <v>0.9997345555847621</v>
      </c>
      <c r="N100" s="261" t="s">
        <v>410</v>
      </c>
      <c r="O100" s="278">
        <v>43465</v>
      </c>
    </row>
    <row r="101" spans="1:15" x14ac:dyDescent="0.25">
      <c r="A101" s="24" t="s">
        <v>310</v>
      </c>
      <c r="B101" s="24" t="s">
        <v>283</v>
      </c>
      <c r="C101" s="24" t="s">
        <v>311</v>
      </c>
      <c r="D101" s="24" t="s">
        <v>347</v>
      </c>
      <c r="E101" s="24" t="s">
        <v>322</v>
      </c>
      <c r="F101" s="24" t="s">
        <v>286</v>
      </c>
      <c r="G101" s="24" t="s">
        <v>297</v>
      </c>
      <c r="H101" s="2">
        <f>'Merluza sur Artesanal'!H53</f>
        <v>6.2225558632000002</v>
      </c>
      <c r="I101" s="2">
        <f>'Merluza sur Artesanal'!I53</f>
        <v>-8.2669999999999995</v>
      </c>
      <c r="J101" s="2">
        <f>'Merluza sur Artesanal'!J53</f>
        <v>-2.0444441367999993</v>
      </c>
      <c r="K101" s="2">
        <f>'Merluza sur Artesanal'!K53</f>
        <v>0.111</v>
      </c>
      <c r="L101" s="2">
        <f>'Merluza sur Artesanal'!L53</f>
        <v>-2.1554441367999995</v>
      </c>
      <c r="M101" s="251">
        <f>'Merluza sur Artesanal'!M53</f>
        <v>1</v>
      </c>
      <c r="N101" s="261" t="str">
        <f>'Merluza sur Artesanal'!N53</f>
        <v>-</v>
      </c>
      <c r="O101" s="278">
        <v>43465</v>
      </c>
    </row>
    <row r="102" spans="1:15" x14ac:dyDescent="0.25">
      <c r="A102" s="24" t="s">
        <v>310</v>
      </c>
      <c r="B102" s="24" t="s">
        <v>283</v>
      </c>
      <c r="C102" s="24" t="s">
        <v>311</v>
      </c>
      <c r="D102" s="24" t="s">
        <v>347</v>
      </c>
      <c r="E102" s="24" t="s">
        <v>322</v>
      </c>
      <c r="F102" s="24" t="s">
        <v>298</v>
      </c>
      <c r="G102" s="24" t="s">
        <v>288</v>
      </c>
      <c r="H102" s="2">
        <f>'Merluza sur Artesanal'!H54</f>
        <v>3.5771577664000005</v>
      </c>
      <c r="I102" s="2">
        <f>'Merluza sur Artesanal'!I54</f>
        <v>0</v>
      </c>
      <c r="J102" s="2">
        <f>'Merluza sur Artesanal'!J54</f>
        <v>1.421713629600001</v>
      </c>
      <c r="K102" s="2">
        <f>'Merluza sur Artesanal'!K54</f>
        <v>1.333</v>
      </c>
      <c r="L102" s="2">
        <f>'Merluza sur Artesanal'!L54</f>
        <v>8.8713629600001065E-2</v>
      </c>
      <c r="M102" s="251">
        <f>'Merluza sur Artesanal'!M54</f>
        <v>0.93760091501341192</v>
      </c>
      <c r="N102" s="261" t="str">
        <f>'Merluza sur Artesanal'!N54</f>
        <v>-</v>
      </c>
      <c r="O102" s="278">
        <v>43465</v>
      </c>
    </row>
    <row r="103" spans="1:15" x14ac:dyDescent="0.25">
      <c r="A103" s="24" t="s">
        <v>310</v>
      </c>
      <c r="B103" s="24" t="s">
        <v>283</v>
      </c>
      <c r="C103" s="24" t="s">
        <v>311</v>
      </c>
      <c r="D103" s="24" t="s">
        <v>347</v>
      </c>
      <c r="E103" s="24" t="s">
        <v>322</v>
      </c>
      <c r="F103" s="24" t="s">
        <v>286</v>
      </c>
      <c r="G103" s="24" t="s">
        <v>288</v>
      </c>
      <c r="H103" s="2">
        <f>'Merluza sur Artesanal'!O53</f>
        <v>9.7997136296000011</v>
      </c>
      <c r="I103" s="2">
        <f>'Merluza sur Artesanal'!P53</f>
        <v>-8.2669999999999995</v>
      </c>
      <c r="J103" s="2">
        <f>'Merluza sur Artesanal'!Q53</f>
        <v>1.5327136296000017</v>
      </c>
      <c r="K103" s="2">
        <f>'Merluza sur Artesanal'!R53</f>
        <v>1.444</v>
      </c>
      <c r="L103" s="2">
        <f>'Merluza sur Artesanal'!S53</f>
        <v>8.8713629600001731E-2</v>
      </c>
      <c r="M103" s="251">
        <f>'Merluza sur Artesanal'!T53</f>
        <v>0.94211989253129191</v>
      </c>
      <c r="N103" s="261" t="s">
        <v>410</v>
      </c>
      <c r="O103" s="278">
        <v>43465</v>
      </c>
    </row>
    <row r="104" spans="1:15" x14ac:dyDescent="0.25">
      <c r="A104" s="24" t="s">
        <v>310</v>
      </c>
      <c r="B104" s="24" t="s">
        <v>283</v>
      </c>
      <c r="C104" s="24" t="s">
        <v>311</v>
      </c>
      <c r="D104" s="24" t="s">
        <v>347</v>
      </c>
      <c r="E104" s="24" t="s">
        <v>323</v>
      </c>
      <c r="F104" s="24" t="s">
        <v>286</v>
      </c>
      <c r="G104" s="24" t="s">
        <v>297</v>
      </c>
      <c r="H104" s="2">
        <f>'Merluza sur Artesanal'!H55</f>
        <v>3.4912936821000002</v>
      </c>
      <c r="I104" s="2">
        <f>'Merluza sur Artesanal'!I55</f>
        <v>0</v>
      </c>
      <c r="J104" s="2">
        <f>'Merluza sur Artesanal'!J55</f>
        <v>3.4912936821000002</v>
      </c>
      <c r="K104" s="2">
        <f>'Merluza sur Artesanal'!K55</f>
        <v>3.92</v>
      </c>
      <c r="L104" s="2">
        <f>'Merluza sur Artesanal'!L55</f>
        <v>-0.42870631789999969</v>
      </c>
      <c r="M104" s="251">
        <f>'Merluza sur Artesanal'!M55</f>
        <v>1.1227929692933005</v>
      </c>
      <c r="N104" s="261" t="str">
        <f>'Merluza sur Artesanal'!N55</f>
        <v>-</v>
      </c>
      <c r="O104" s="278">
        <v>43465</v>
      </c>
    </row>
    <row r="105" spans="1:15" x14ac:dyDescent="0.25">
      <c r="A105" s="24" t="s">
        <v>310</v>
      </c>
      <c r="B105" s="24" t="s">
        <v>283</v>
      </c>
      <c r="C105" s="24" t="s">
        <v>311</v>
      </c>
      <c r="D105" s="24" t="s">
        <v>347</v>
      </c>
      <c r="E105" s="24" t="s">
        <v>323</v>
      </c>
      <c r="F105" s="24" t="s">
        <v>298</v>
      </c>
      <c r="G105" s="24" t="s">
        <v>288</v>
      </c>
      <c r="H105" s="2">
        <f>'Merluza sur Artesanal'!H56</f>
        <v>2.0070383592000001</v>
      </c>
      <c r="I105" s="2">
        <f>'Merluza sur Artesanal'!I56</f>
        <v>0</v>
      </c>
      <c r="J105" s="2">
        <f>'Merluza sur Artesanal'!J56</f>
        <v>1.5783320413000004</v>
      </c>
      <c r="K105" s="2">
        <f>'Merluza sur Artesanal'!K56</f>
        <v>1.5780000000000001</v>
      </c>
      <c r="L105" s="2">
        <f>'Merluza sur Artesanal'!L56</f>
        <v>3.3204130000030752E-4</v>
      </c>
      <c r="M105" s="251">
        <f>'Merluza sur Artesanal'!M56</f>
        <v>0.99978962519209402</v>
      </c>
      <c r="N105" s="261" t="str">
        <f>'Merluza sur Artesanal'!N56</f>
        <v>-</v>
      </c>
      <c r="O105" s="278">
        <v>43465</v>
      </c>
    </row>
    <row r="106" spans="1:15" x14ac:dyDescent="0.25">
      <c r="A106" s="24" t="s">
        <v>310</v>
      </c>
      <c r="B106" s="24" t="s">
        <v>283</v>
      </c>
      <c r="C106" s="24" t="s">
        <v>311</v>
      </c>
      <c r="D106" s="24" t="s">
        <v>347</v>
      </c>
      <c r="E106" s="24" t="s">
        <v>323</v>
      </c>
      <c r="F106" s="24" t="s">
        <v>286</v>
      </c>
      <c r="G106" s="24" t="s">
        <v>288</v>
      </c>
      <c r="H106" s="2">
        <f>'Merluza sur Artesanal'!O55</f>
        <v>5.4983320413000003</v>
      </c>
      <c r="I106" s="2">
        <f>'Merluza sur Artesanal'!P55</f>
        <v>0</v>
      </c>
      <c r="J106" s="2">
        <f>'Merluza sur Artesanal'!Q55</f>
        <v>5.4983320413000003</v>
      </c>
      <c r="K106" s="2">
        <f>'Merluza sur Artesanal'!R55</f>
        <v>5.4980000000000002</v>
      </c>
      <c r="L106" s="2">
        <f>'Merluza sur Artesanal'!S55</f>
        <v>3.3204130000008547E-4</v>
      </c>
      <c r="M106" s="251">
        <f>'Merluza sur Artesanal'!T55</f>
        <v>0.99993961054052283</v>
      </c>
      <c r="N106" s="261" t="s">
        <v>410</v>
      </c>
      <c r="O106" s="278">
        <v>43465</v>
      </c>
    </row>
    <row r="107" spans="1:15" x14ac:dyDescent="0.25">
      <c r="A107" s="24" t="s">
        <v>310</v>
      </c>
      <c r="B107" s="24" t="s">
        <v>283</v>
      </c>
      <c r="C107" s="24" t="s">
        <v>311</v>
      </c>
      <c r="D107" s="24" t="s">
        <v>347</v>
      </c>
      <c r="E107" s="24" t="s">
        <v>324</v>
      </c>
      <c r="F107" s="24" t="s">
        <v>286</v>
      </c>
      <c r="G107" s="24" t="s">
        <v>297</v>
      </c>
      <c r="H107" s="2">
        <f>'Merluza sur Artesanal'!H57</f>
        <v>11.784250921</v>
      </c>
      <c r="I107" s="2">
        <f>'Merluza sur Artesanal'!I57</f>
        <v>-18.559000000000001</v>
      </c>
      <c r="J107" s="2">
        <f>'Merluza sur Artesanal'!J57</f>
        <v>-6.7747490790000011</v>
      </c>
      <c r="K107" s="2">
        <f>'Merluza sur Artesanal'!K57</f>
        <v>0</v>
      </c>
      <c r="L107" s="2">
        <f>'Merluza sur Artesanal'!L57</f>
        <v>-6.7747490790000011</v>
      </c>
      <c r="M107" s="251">
        <f>'Merluza sur Artesanal'!M57</f>
        <v>0</v>
      </c>
      <c r="N107" s="261">
        <f>'Merluza sur Artesanal'!N57</f>
        <v>43166</v>
      </c>
      <c r="O107" s="278">
        <v>43465</v>
      </c>
    </row>
    <row r="108" spans="1:15" x14ac:dyDescent="0.25">
      <c r="A108" s="24" t="s">
        <v>310</v>
      </c>
      <c r="B108" s="24" t="s">
        <v>283</v>
      </c>
      <c r="C108" s="24" t="s">
        <v>311</v>
      </c>
      <c r="D108" s="24" t="s">
        <v>347</v>
      </c>
      <c r="E108" s="24" t="s">
        <v>324</v>
      </c>
      <c r="F108" s="24" t="s">
        <v>298</v>
      </c>
      <c r="G108" s="24" t="s">
        <v>288</v>
      </c>
      <c r="H108" s="2">
        <f>'Merluza sur Artesanal'!H58</f>
        <v>6.7744067920000006</v>
      </c>
      <c r="I108" s="2">
        <f>'Merluza sur Artesanal'!I58</f>
        <v>0</v>
      </c>
      <c r="J108" s="2">
        <f>'Merluza sur Artesanal'!J58</f>
        <v>-3.4228700000049628E-4</v>
      </c>
      <c r="K108" s="2">
        <f>'Merluza sur Artesanal'!K58</f>
        <v>0</v>
      </c>
      <c r="L108" s="2">
        <f>'Merluza sur Artesanal'!L58</f>
        <v>-3.4228700000049628E-4</v>
      </c>
      <c r="M108" s="251">
        <f>'Merluza sur Artesanal'!M58</f>
        <v>0</v>
      </c>
      <c r="N108" s="261">
        <f>'Merluza sur Artesanal'!N57</f>
        <v>43166</v>
      </c>
      <c r="O108" s="278">
        <v>43465</v>
      </c>
    </row>
    <row r="109" spans="1:15" x14ac:dyDescent="0.25">
      <c r="A109" s="24" t="s">
        <v>310</v>
      </c>
      <c r="B109" s="24" t="s">
        <v>283</v>
      </c>
      <c r="C109" s="24" t="s">
        <v>311</v>
      </c>
      <c r="D109" s="24" t="s">
        <v>347</v>
      </c>
      <c r="E109" s="24" t="s">
        <v>324</v>
      </c>
      <c r="F109" s="24" t="s">
        <v>286</v>
      </c>
      <c r="G109" s="24" t="s">
        <v>288</v>
      </c>
      <c r="H109" s="2">
        <f>'Merluza sur Artesanal'!O57</f>
        <v>18.558657713000002</v>
      </c>
      <c r="I109" s="2">
        <f>'Merluza sur Artesanal'!P57</f>
        <v>-18.559000000000001</v>
      </c>
      <c r="J109" s="2">
        <f>'Merluza sur Artesanal'!Q57</f>
        <v>-3.4228699999871992E-4</v>
      </c>
      <c r="K109" s="2">
        <f>'Merluza sur Artesanal'!R57</f>
        <v>0</v>
      </c>
      <c r="L109" s="2">
        <f>'Merluza sur Artesanal'!S57</f>
        <v>-3.4228699999871992E-4</v>
      </c>
      <c r="M109" s="251">
        <f>'Merluza sur Artesanal'!T57</f>
        <v>0</v>
      </c>
      <c r="N109" s="261" t="s">
        <v>410</v>
      </c>
      <c r="O109" s="278">
        <v>43465</v>
      </c>
    </row>
    <row r="110" spans="1:15" x14ac:dyDescent="0.25">
      <c r="A110" s="24" t="s">
        <v>310</v>
      </c>
      <c r="B110" s="24" t="s">
        <v>283</v>
      </c>
      <c r="C110" s="24" t="s">
        <v>311</v>
      </c>
      <c r="D110" s="24" t="s">
        <v>347</v>
      </c>
      <c r="E110" s="24" t="s">
        <v>325</v>
      </c>
      <c r="F110" s="24" t="s">
        <v>286</v>
      </c>
      <c r="G110" s="24" t="s">
        <v>297</v>
      </c>
      <c r="H110" s="2">
        <f>'Merluza sur Artesanal'!H59</f>
        <v>11.941739413999999</v>
      </c>
      <c r="I110" s="2">
        <f>'Merluza sur Artesanal'!I59</f>
        <v>0</v>
      </c>
      <c r="J110" s="2">
        <f>'Merluza sur Artesanal'!J59</f>
        <v>11.941739413999999</v>
      </c>
      <c r="K110" s="2">
        <f>'Merluza sur Artesanal'!K59</f>
        <v>8.6690000000000005</v>
      </c>
      <c r="L110" s="2">
        <f>'Merluza sur Artesanal'!L59</f>
        <v>3.2727394139999983</v>
      </c>
      <c r="M110" s="251">
        <f>'Merluza sur Artesanal'!M59</f>
        <v>0.72594114638247975</v>
      </c>
      <c r="N110" s="261" t="str">
        <f>'Merluza sur Artesanal'!N59</f>
        <v>-</v>
      </c>
      <c r="O110" s="278">
        <v>43465</v>
      </c>
    </row>
    <row r="111" spans="1:15" x14ac:dyDescent="0.25">
      <c r="A111" s="24" t="s">
        <v>310</v>
      </c>
      <c r="B111" s="24" t="s">
        <v>283</v>
      </c>
      <c r="C111" s="24" t="s">
        <v>311</v>
      </c>
      <c r="D111" s="24" t="s">
        <v>347</v>
      </c>
      <c r="E111" s="24" t="s">
        <v>325</v>
      </c>
      <c r="F111" s="24" t="s">
        <v>298</v>
      </c>
      <c r="G111" s="24" t="s">
        <v>288</v>
      </c>
      <c r="H111" s="2">
        <f>'Merluza sur Artesanal'!H60</f>
        <v>6.8649421279999991</v>
      </c>
      <c r="I111" s="2">
        <f>'Merluza sur Artesanal'!I60</f>
        <v>0</v>
      </c>
      <c r="J111" s="2">
        <f>'Merluza sur Artesanal'!J60</f>
        <v>10.137681541999997</v>
      </c>
      <c r="K111" s="2">
        <f>'Merluza sur Artesanal'!K60</f>
        <v>10.113</v>
      </c>
      <c r="L111" s="2">
        <f>'Merluza sur Artesanal'!L60</f>
        <v>2.4681541999997947E-2</v>
      </c>
      <c r="M111" s="251">
        <f>'Merluza sur Artesanal'!M60</f>
        <v>0.99756536621339476</v>
      </c>
      <c r="N111" s="261" t="str">
        <f>'Merluza sur Artesanal'!N60</f>
        <v>-</v>
      </c>
      <c r="O111" s="278">
        <v>43465</v>
      </c>
    </row>
    <row r="112" spans="1:15" x14ac:dyDescent="0.25">
      <c r="A112" s="24" t="s">
        <v>310</v>
      </c>
      <c r="B112" s="24" t="s">
        <v>283</v>
      </c>
      <c r="C112" s="24" t="s">
        <v>311</v>
      </c>
      <c r="D112" s="24" t="s">
        <v>347</v>
      </c>
      <c r="E112" s="24" t="s">
        <v>325</v>
      </c>
      <c r="F112" s="24" t="s">
        <v>286</v>
      </c>
      <c r="G112" s="24" t="s">
        <v>288</v>
      </c>
      <c r="H112" s="2">
        <f>'Merluza sur Artesanal'!O59</f>
        <v>18.806681542</v>
      </c>
      <c r="I112" s="2">
        <f>'Merluza sur Artesanal'!P59</f>
        <v>0</v>
      </c>
      <c r="J112" s="2">
        <f>'Merluza sur Artesanal'!Q59</f>
        <v>18.806681542</v>
      </c>
      <c r="K112" s="2">
        <f>'Merluza sur Artesanal'!R59</f>
        <v>18.782</v>
      </c>
      <c r="L112" s="2">
        <f>'Merluza sur Artesanal'!S59</f>
        <v>2.4681541999999723E-2</v>
      </c>
      <c r="M112" s="251">
        <f>'Merluza sur Artesanal'!T59</f>
        <v>0.99868761844321763</v>
      </c>
      <c r="N112" s="261" t="s">
        <v>410</v>
      </c>
      <c r="O112" s="278">
        <v>43465</v>
      </c>
    </row>
    <row r="113" spans="1:15" x14ac:dyDescent="0.25">
      <c r="A113" s="24" t="s">
        <v>310</v>
      </c>
      <c r="B113" s="24" t="s">
        <v>283</v>
      </c>
      <c r="C113" s="24" t="s">
        <v>311</v>
      </c>
      <c r="D113" s="24" t="s">
        <v>347</v>
      </c>
      <c r="E113" s="24" t="s">
        <v>326</v>
      </c>
      <c r="F113" s="24" t="s">
        <v>286</v>
      </c>
      <c r="G113" s="24" t="s">
        <v>297</v>
      </c>
      <c r="H113" s="2">
        <f>'Merluza sur Artesanal'!H61</f>
        <v>5.8209999999999997</v>
      </c>
      <c r="I113" s="2">
        <f>'Merluza sur Artesanal'!I61</f>
        <v>0</v>
      </c>
      <c r="J113" s="2">
        <f>'Merluza sur Artesanal'!J61</f>
        <v>5.8209999999999997</v>
      </c>
      <c r="K113" s="2">
        <f>'Merluza sur Artesanal'!K61</f>
        <v>3.6</v>
      </c>
      <c r="L113" s="2">
        <f>'Merluza sur Artesanal'!L61</f>
        <v>2.2209999999999996</v>
      </c>
      <c r="M113" s="251">
        <f>'Merluza sur Artesanal'!M61</f>
        <v>0.6184504380690603</v>
      </c>
      <c r="N113" s="261" t="str">
        <f>'Merluza sur Artesanal'!N61</f>
        <v>-</v>
      </c>
      <c r="O113" s="278">
        <v>43465</v>
      </c>
    </row>
    <row r="114" spans="1:15" x14ac:dyDescent="0.25">
      <c r="A114" s="24" t="s">
        <v>310</v>
      </c>
      <c r="B114" s="24" t="s">
        <v>283</v>
      </c>
      <c r="C114" s="24" t="s">
        <v>311</v>
      </c>
      <c r="D114" s="24" t="s">
        <v>347</v>
      </c>
      <c r="E114" s="24" t="s">
        <v>326</v>
      </c>
      <c r="F114" s="24" t="s">
        <v>298</v>
      </c>
      <c r="G114" s="24" t="s">
        <v>288</v>
      </c>
      <c r="H114" s="2">
        <f>'Merluza sur Artesanal'!H62</f>
        <v>1.2769999999999999</v>
      </c>
      <c r="I114" s="2">
        <f>'Merluza sur Artesanal'!I62</f>
        <v>0</v>
      </c>
      <c r="J114" s="2">
        <f>'Merluza sur Artesanal'!J62</f>
        <v>3.4979999999999993</v>
      </c>
      <c r="K114" s="2">
        <f>'Merluza sur Artesanal'!K62</f>
        <v>3.0960000000000001</v>
      </c>
      <c r="L114" s="2">
        <f>'Merluza sur Artesanal'!L62</f>
        <v>0.40199999999999925</v>
      </c>
      <c r="M114" s="251">
        <f>'Merluza sur Artesanal'!M62</f>
        <v>0.88507718696397963</v>
      </c>
      <c r="N114" s="261" t="str">
        <f>'Merluza sur Artesanal'!N62</f>
        <v>-</v>
      </c>
      <c r="O114" s="278">
        <v>43465</v>
      </c>
    </row>
    <row r="115" spans="1:15" x14ac:dyDescent="0.25">
      <c r="A115" s="24" t="s">
        <v>310</v>
      </c>
      <c r="B115" s="24" t="s">
        <v>283</v>
      </c>
      <c r="C115" s="24" t="s">
        <v>311</v>
      </c>
      <c r="D115" s="24" t="s">
        <v>347</v>
      </c>
      <c r="E115" s="24" t="s">
        <v>326</v>
      </c>
      <c r="F115" s="24" t="s">
        <v>286</v>
      </c>
      <c r="G115" s="24" t="s">
        <v>288</v>
      </c>
      <c r="H115" s="2">
        <f>'Merluza sur Artesanal'!O61</f>
        <v>7.0979999999999999</v>
      </c>
      <c r="I115" s="2">
        <f>'Merluza sur Artesanal'!P61</f>
        <v>0</v>
      </c>
      <c r="J115" s="2">
        <f>'Merluza sur Artesanal'!Q61</f>
        <v>7.0979999999999999</v>
      </c>
      <c r="K115" s="2">
        <f>'Merluza sur Artesanal'!R61</f>
        <v>6.6959999999999997</v>
      </c>
      <c r="L115" s="2">
        <f>'Merluza sur Artesanal'!S61</f>
        <v>0.40200000000000014</v>
      </c>
      <c r="M115" s="251">
        <f>'Merluza sur Artesanal'!T61</f>
        <v>0.94336432797971259</v>
      </c>
      <c r="N115" s="261" t="s">
        <v>410</v>
      </c>
      <c r="O115" s="278">
        <v>43465</v>
      </c>
    </row>
    <row r="116" spans="1:15" x14ac:dyDescent="0.25">
      <c r="A116" s="24" t="s">
        <v>310</v>
      </c>
      <c r="B116" s="24" t="s">
        <v>283</v>
      </c>
      <c r="C116" s="24" t="s">
        <v>311</v>
      </c>
      <c r="D116" s="24" t="s">
        <v>347</v>
      </c>
      <c r="E116" s="24" t="s">
        <v>327</v>
      </c>
      <c r="F116" s="24" t="s">
        <v>286</v>
      </c>
      <c r="G116" s="24" t="s">
        <v>297</v>
      </c>
      <c r="H116" s="2">
        <f>'Merluza sur Artesanal'!H63</f>
        <v>32.731411188000003</v>
      </c>
      <c r="I116" s="2">
        <f>'Merluza sur Artesanal'!I63</f>
        <v>-51.548000000000002</v>
      </c>
      <c r="J116" s="2">
        <f>'Merluza sur Artesanal'!J63</f>
        <v>-18.816588811999999</v>
      </c>
      <c r="K116" s="2">
        <f>'Merluza sur Artesanal'!K63</f>
        <v>0</v>
      </c>
      <c r="L116" s="2">
        <f>'Merluza sur Artesanal'!L63</f>
        <v>-18.816588811999999</v>
      </c>
      <c r="M116" s="251">
        <f>'Merluza sur Artesanal'!M63</f>
        <v>0</v>
      </c>
      <c r="N116" s="261">
        <f>'Merluza sur Artesanal'!N63</f>
        <v>43154</v>
      </c>
      <c r="O116" s="278">
        <v>43465</v>
      </c>
    </row>
    <row r="117" spans="1:15" x14ac:dyDescent="0.25">
      <c r="A117" s="24" t="s">
        <v>310</v>
      </c>
      <c r="B117" s="24" t="s">
        <v>283</v>
      </c>
      <c r="C117" s="24" t="s">
        <v>311</v>
      </c>
      <c r="D117" s="24" t="s">
        <v>347</v>
      </c>
      <c r="E117" s="24" t="s">
        <v>327</v>
      </c>
      <c r="F117" s="24" t="s">
        <v>298</v>
      </c>
      <c r="G117" s="24" t="s">
        <v>288</v>
      </c>
      <c r="H117" s="2">
        <f>'Merluza sur Artesanal'!H64</f>
        <v>18.816290976000001</v>
      </c>
      <c r="I117" s="2">
        <f>'Merluza sur Artesanal'!I64</f>
        <v>0</v>
      </c>
      <c r="J117" s="2">
        <f>'Merluza sur Artesanal'!J64</f>
        <v>-2.9783599999788635E-4</v>
      </c>
      <c r="K117" s="2">
        <f>'Merluza sur Artesanal'!K64</f>
        <v>0</v>
      </c>
      <c r="L117" s="2">
        <f>'Merluza sur Artesanal'!L64</f>
        <v>-2.9783599999788635E-4</v>
      </c>
      <c r="M117" s="251">
        <f>'Merluza sur Artesanal'!M64</f>
        <v>0</v>
      </c>
      <c r="N117" s="261">
        <f>'Merluza sur Artesanal'!N64</f>
        <v>43166</v>
      </c>
      <c r="O117" s="278">
        <v>43465</v>
      </c>
    </row>
    <row r="118" spans="1:15" x14ac:dyDescent="0.25">
      <c r="A118" s="24" t="s">
        <v>310</v>
      </c>
      <c r="B118" s="24" t="s">
        <v>283</v>
      </c>
      <c r="C118" s="24" t="s">
        <v>311</v>
      </c>
      <c r="D118" s="24" t="s">
        <v>347</v>
      </c>
      <c r="E118" s="24" t="s">
        <v>327</v>
      </c>
      <c r="F118" s="24" t="s">
        <v>286</v>
      </c>
      <c r="G118" s="24" t="s">
        <v>288</v>
      </c>
      <c r="H118" s="2">
        <f>'Merluza sur Artesanal'!O63</f>
        <v>51.547702164</v>
      </c>
      <c r="I118" s="2">
        <f>'Merluza sur Artesanal'!P63</f>
        <v>-51.548000000000002</v>
      </c>
      <c r="J118" s="2">
        <f>'Merluza sur Artesanal'!Q63</f>
        <v>-2.9783600000143906E-4</v>
      </c>
      <c r="K118" s="2">
        <f>'Merluza sur Artesanal'!R63</f>
        <v>0</v>
      </c>
      <c r="L118" s="2">
        <f>'Merluza sur Artesanal'!S63</f>
        <v>-2.9783600000143906E-4</v>
      </c>
      <c r="M118" s="251">
        <f>'Merluza sur Artesanal'!T63</f>
        <v>0</v>
      </c>
      <c r="N118" s="261" t="s">
        <v>410</v>
      </c>
      <c r="O118" s="278">
        <v>43465</v>
      </c>
    </row>
    <row r="119" spans="1:15" x14ac:dyDescent="0.25">
      <c r="A119" s="24" t="s">
        <v>310</v>
      </c>
      <c r="B119" s="24" t="s">
        <v>283</v>
      </c>
      <c r="C119" s="24" t="s">
        <v>311</v>
      </c>
      <c r="D119" s="24" t="s">
        <v>347</v>
      </c>
      <c r="E119" s="24" t="s">
        <v>328</v>
      </c>
      <c r="F119" s="24" t="s">
        <v>286</v>
      </c>
      <c r="G119" s="24" t="s">
        <v>297</v>
      </c>
      <c r="H119" s="2">
        <f>'Merluza sur Artesanal'!H65</f>
        <v>22.758634149500001</v>
      </c>
      <c r="I119" s="2">
        <f>'Merluza sur Artesanal'!I65</f>
        <v>-35.841999999999999</v>
      </c>
      <c r="J119" s="2">
        <f>'Merluza sur Artesanal'!J65</f>
        <v>-13.083365850499998</v>
      </c>
      <c r="K119" s="2">
        <f>'Merluza sur Artesanal'!K65</f>
        <v>0</v>
      </c>
      <c r="L119" s="2">
        <f>'Merluza sur Artesanal'!L65</f>
        <v>-13.083365850499998</v>
      </c>
      <c r="M119" s="251">
        <f>'Merluza sur Artesanal'!M65</f>
        <v>0</v>
      </c>
      <c r="N119" s="261">
        <f>'Merluza sur Artesanal'!N65</f>
        <v>43166</v>
      </c>
      <c r="O119" s="278">
        <v>43465</v>
      </c>
    </row>
    <row r="120" spans="1:15" x14ac:dyDescent="0.25">
      <c r="A120" s="24" t="s">
        <v>310</v>
      </c>
      <c r="B120" s="24" t="s">
        <v>283</v>
      </c>
      <c r="C120" s="24" t="s">
        <v>311</v>
      </c>
      <c r="D120" s="24" t="s">
        <v>347</v>
      </c>
      <c r="E120" s="24" t="s">
        <v>328</v>
      </c>
      <c r="F120" s="24" t="s">
        <v>298</v>
      </c>
      <c r="G120" s="24" t="s">
        <v>288</v>
      </c>
      <c r="H120" s="2">
        <f>'Merluza sur Artesanal'!H66</f>
        <v>13.083245324000002</v>
      </c>
      <c r="I120" s="2">
        <f>'Merluza sur Artesanal'!I66</f>
        <v>0</v>
      </c>
      <c r="J120" s="2">
        <f>'Merluza sur Artesanal'!J66</f>
        <v>-1.2052649999638732E-4</v>
      </c>
      <c r="K120" s="2">
        <f>'Merluza sur Artesanal'!K66</f>
        <v>0</v>
      </c>
      <c r="L120" s="2">
        <f>'Merluza sur Artesanal'!L66</f>
        <v>-1.2052649999638732E-4</v>
      </c>
      <c r="M120" s="251">
        <f>'Merluza sur Artesanal'!M66</f>
        <v>0</v>
      </c>
      <c r="N120" s="261">
        <f>'Merluza sur Artesanal'!N65</f>
        <v>43166</v>
      </c>
      <c r="O120" s="278">
        <v>43465</v>
      </c>
    </row>
    <row r="121" spans="1:15" x14ac:dyDescent="0.25">
      <c r="A121" s="24" t="s">
        <v>310</v>
      </c>
      <c r="B121" s="24" t="s">
        <v>283</v>
      </c>
      <c r="C121" s="24" t="s">
        <v>311</v>
      </c>
      <c r="D121" s="24" t="s">
        <v>347</v>
      </c>
      <c r="E121" s="24" t="s">
        <v>328</v>
      </c>
      <c r="F121" s="24" t="s">
        <v>286</v>
      </c>
      <c r="G121" s="24" t="s">
        <v>288</v>
      </c>
      <c r="H121" s="2">
        <f>'Merluza sur Artesanal'!O65</f>
        <v>35.841879473500001</v>
      </c>
      <c r="I121" s="2">
        <f>'Merluza sur Artesanal'!P65</f>
        <v>-35.841999999999999</v>
      </c>
      <c r="J121" s="2">
        <f>'Merluza sur Artesanal'!Q65</f>
        <v>-1.2052649999816367E-4</v>
      </c>
      <c r="K121" s="2">
        <f>'Merluza sur Artesanal'!R65</f>
        <v>0</v>
      </c>
      <c r="L121" s="2">
        <f>'Merluza sur Artesanal'!S65</f>
        <v>-1.2052649999816367E-4</v>
      </c>
      <c r="M121" s="251">
        <f>'Merluza sur Artesanal'!T65</f>
        <v>0</v>
      </c>
      <c r="N121" s="261" t="s">
        <v>410</v>
      </c>
      <c r="O121" s="278">
        <v>43465</v>
      </c>
    </row>
    <row r="122" spans="1:15" x14ac:dyDescent="0.25">
      <c r="A122" s="24" t="s">
        <v>310</v>
      </c>
      <c r="B122" s="24" t="s">
        <v>283</v>
      </c>
      <c r="C122" s="24" t="s">
        <v>311</v>
      </c>
      <c r="D122" s="24" t="s">
        <v>347</v>
      </c>
      <c r="E122" s="24" t="s">
        <v>329</v>
      </c>
      <c r="F122" s="24" t="s">
        <v>286</v>
      </c>
      <c r="G122" s="24" t="s">
        <v>297</v>
      </c>
      <c r="H122" s="2">
        <f>'Merluza sur Artesanal'!H67</f>
        <v>14.925552626500002</v>
      </c>
      <c r="I122" s="2">
        <f>'Merluza sur Artesanal'!I67</f>
        <v>-23.506</v>
      </c>
      <c r="J122" s="2">
        <f>'Merluza sur Artesanal'!J67</f>
        <v>-8.5804473734999984</v>
      </c>
      <c r="K122" s="2">
        <f>'Merluza sur Artesanal'!K67</f>
        <v>0</v>
      </c>
      <c r="L122" s="2">
        <f>'Merluza sur Artesanal'!L67</f>
        <v>-8.5804473734999984</v>
      </c>
      <c r="M122" s="251">
        <f>'Merluza sur Artesanal'!M67</f>
        <v>0</v>
      </c>
      <c r="N122" s="261">
        <f>'Merluza sur Artesanal'!N67</f>
        <v>43166</v>
      </c>
      <c r="O122" s="278">
        <v>43465</v>
      </c>
    </row>
    <row r="123" spans="1:15" x14ac:dyDescent="0.25">
      <c r="A123" s="24" t="s">
        <v>310</v>
      </c>
      <c r="B123" s="24" t="s">
        <v>283</v>
      </c>
      <c r="C123" s="24" t="s">
        <v>311</v>
      </c>
      <c r="D123" s="24" t="s">
        <v>347</v>
      </c>
      <c r="E123" s="24" t="s">
        <v>329</v>
      </c>
      <c r="F123" s="24" t="s">
        <v>298</v>
      </c>
      <c r="G123" s="24" t="s">
        <v>288</v>
      </c>
      <c r="H123" s="2">
        <f>'Merluza sur Artesanal'!H68</f>
        <v>8.5802454280000013</v>
      </c>
      <c r="I123" s="2">
        <f>'Merluza sur Artesanal'!I68</f>
        <v>0</v>
      </c>
      <c r="J123" s="2">
        <f>'Merluza sur Artesanal'!J68</f>
        <v>-2.0194549999708045E-4</v>
      </c>
      <c r="K123" s="2">
        <f>'Merluza sur Artesanal'!K68</f>
        <v>0</v>
      </c>
      <c r="L123" s="2">
        <f>'Merluza sur Artesanal'!L68</f>
        <v>-2.0194549999708045E-4</v>
      </c>
      <c r="M123" s="251">
        <f>'Merluza sur Artesanal'!M68</f>
        <v>0</v>
      </c>
      <c r="N123" s="261">
        <f>'Merluza sur Artesanal'!N67</f>
        <v>43166</v>
      </c>
      <c r="O123" s="278">
        <v>43465</v>
      </c>
    </row>
    <row r="124" spans="1:15" x14ac:dyDescent="0.25">
      <c r="A124" s="24" t="s">
        <v>310</v>
      </c>
      <c r="B124" s="24" t="s">
        <v>283</v>
      </c>
      <c r="C124" s="24" t="s">
        <v>311</v>
      </c>
      <c r="D124" s="24" t="s">
        <v>347</v>
      </c>
      <c r="E124" s="24" t="s">
        <v>329</v>
      </c>
      <c r="F124" s="24" t="s">
        <v>286</v>
      </c>
      <c r="G124" s="24" t="s">
        <v>288</v>
      </c>
      <c r="H124" s="2">
        <f>'Merluza sur Artesanal'!O67</f>
        <v>23.505798054500005</v>
      </c>
      <c r="I124" s="2">
        <f>'Merluza sur Artesanal'!P67</f>
        <v>-23.506</v>
      </c>
      <c r="J124" s="2">
        <f>'Merluza sur Artesanal'!Q67</f>
        <v>-2.0194549999530409E-4</v>
      </c>
      <c r="K124" s="2">
        <f>'Merluza sur Artesanal'!R67</f>
        <v>0</v>
      </c>
      <c r="L124" s="2">
        <f>'Merluza sur Artesanal'!S67</f>
        <v>-2.0194549999530409E-4</v>
      </c>
      <c r="M124" s="251">
        <f>'Merluza sur Artesanal'!T67</f>
        <v>0</v>
      </c>
      <c r="N124" s="261" t="s">
        <v>410</v>
      </c>
      <c r="O124" s="278">
        <v>43465</v>
      </c>
    </row>
    <row r="125" spans="1:15" x14ac:dyDescent="0.25">
      <c r="A125" s="24" t="s">
        <v>310</v>
      </c>
      <c r="B125" s="24" t="s">
        <v>283</v>
      </c>
      <c r="C125" s="24" t="s">
        <v>311</v>
      </c>
      <c r="D125" s="24" t="s">
        <v>347</v>
      </c>
      <c r="E125" s="24" t="s">
        <v>330</v>
      </c>
      <c r="F125" s="24" t="s">
        <v>286</v>
      </c>
      <c r="G125" s="24" t="s">
        <v>297</v>
      </c>
      <c r="H125" s="2">
        <f>'Merluza sur Artesanal'!H69</f>
        <v>29.648887865799999</v>
      </c>
      <c r="I125" s="2">
        <f>'Merluza sur Artesanal'!I69</f>
        <v>-39.468000000000004</v>
      </c>
      <c r="J125" s="2">
        <f>'Merluza sur Artesanal'!J69</f>
        <v>-9.8191121342000045</v>
      </c>
      <c r="K125" s="2">
        <f>'Merluza sur Artesanal'!K69</f>
        <v>0</v>
      </c>
      <c r="L125" s="2">
        <f>'Merluza sur Artesanal'!L69</f>
        <v>-9.8191121342000045</v>
      </c>
      <c r="M125" s="251">
        <f>'Merluza sur Artesanal'!M69</f>
        <v>0</v>
      </c>
      <c r="N125" s="261">
        <f>'Merluza sur Artesanal'!N69</f>
        <v>43166</v>
      </c>
      <c r="O125" s="278">
        <v>43465</v>
      </c>
    </row>
    <row r="126" spans="1:15" x14ac:dyDescent="0.25">
      <c r="A126" s="24" t="s">
        <v>310</v>
      </c>
      <c r="B126" s="24" t="s">
        <v>283</v>
      </c>
      <c r="C126" s="24" t="s">
        <v>311</v>
      </c>
      <c r="D126" s="24" t="s">
        <v>347</v>
      </c>
      <c r="E126" s="24" t="s">
        <v>330</v>
      </c>
      <c r="F126" s="24" t="s">
        <v>298</v>
      </c>
      <c r="G126" s="24" t="s">
        <v>288</v>
      </c>
      <c r="H126" s="2">
        <f>'Merluza sur Artesanal'!H70</f>
        <v>17.044242241599999</v>
      </c>
      <c r="I126" s="2">
        <f>'Merluza sur Artesanal'!I70</f>
        <v>0</v>
      </c>
      <c r="J126" s="2">
        <f>'Merluza sur Artesanal'!J70</f>
        <v>7.2251301073999947</v>
      </c>
      <c r="K126" s="2">
        <f>'Merluza sur Artesanal'!K70</f>
        <v>5.2160000000000002</v>
      </c>
      <c r="L126" s="2">
        <f>'Merluza sur Artesanal'!L70</f>
        <v>2.0091301073999945</v>
      </c>
      <c r="M126" s="251">
        <f>'Merluza sur Artesanal'!M70</f>
        <v>0.72192471588266083</v>
      </c>
      <c r="N126" s="261" t="str">
        <f>'Merluza sur Artesanal'!N70</f>
        <v>-</v>
      </c>
      <c r="O126" s="278">
        <v>43465</v>
      </c>
    </row>
    <row r="127" spans="1:15" x14ac:dyDescent="0.25">
      <c r="A127" s="24" t="s">
        <v>310</v>
      </c>
      <c r="B127" s="24" t="s">
        <v>283</v>
      </c>
      <c r="C127" s="24" t="s">
        <v>311</v>
      </c>
      <c r="D127" s="24" t="s">
        <v>347</v>
      </c>
      <c r="E127" s="24" t="s">
        <v>330</v>
      </c>
      <c r="F127" s="24" t="s">
        <v>286</v>
      </c>
      <c r="G127" s="24" t="s">
        <v>288</v>
      </c>
      <c r="H127" s="2">
        <f>'Merluza sur Artesanal'!O69</f>
        <v>46.693130107399995</v>
      </c>
      <c r="I127" s="2">
        <f>'Merluza sur Artesanal'!P69</f>
        <v>-39.468000000000004</v>
      </c>
      <c r="J127" s="2">
        <f>'Merluza sur Artesanal'!Q69</f>
        <v>7.2251301073999912</v>
      </c>
      <c r="K127" s="2">
        <f>'Merluza sur Artesanal'!R69</f>
        <v>5.2160000000000002</v>
      </c>
      <c r="L127" s="2">
        <f>'Merluza sur Artesanal'!S69</f>
        <v>2.009130107399991</v>
      </c>
      <c r="M127" s="251">
        <f>'Merluza sur Artesanal'!T69</f>
        <v>0.72192471588266127</v>
      </c>
      <c r="N127" s="261" t="s">
        <v>410</v>
      </c>
      <c r="O127" s="278">
        <v>43465</v>
      </c>
    </row>
    <row r="128" spans="1:15" x14ac:dyDescent="0.25">
      <c r="A128" s="24" t="s">
        <v>310</v>
      </c>
      <c r="B128" s="24" t="s">
        <v>283</v>
      </c>
      <c r="C128" s="24" t="s">
        <v>311</v>
      </c>
      <c r="D128" s="24" t="s">
        <v>347</v>
      </c>
      <c r="E128" s="24" t="s">
        <v>331</v>
      </c>
      <c r="F128" s="24" t="s">
        <v>286</v>
      </c>
      <c r="G128" s="24" t="s">
        <v>297</v>
      </c>
      <c r="H128" s="2">
        <f>'Merluza sur Artesanal'!H71</f>
        <v>56.109000000000002</v>
      </c>
      <c r="I128" s="2">
        <f>'Merluza sur Artesanal'!I71</f>
        <v>-88.364999999999995</v>
      </c>
      <c r="J128" s="2">
        <f>'Merluza sur Artesanal'!J71</f>
        <v>-32.255999999999993</v>
      </c>
      <c r="K128" s="2">
        <f>'Merluza sur Artesanal'!K71</f>
        <v>0</v>
      </c>
      <c r="L128" s="2">
        <f>'Merluza sur Artesanal'!L71</f>
        <v>-32.255999999999993</v>
      </c>
      <c r="M128" s="251">
        <f>'Merluza sur Artesanal'!M71</f>
        <v>0</v>
      </c>
      <c r="N128" s="261">
        <f>'Merluza sur Artesanal'!N71</f>
        <v>43154</v>
      </c>
      <c r="O128" s="278">
        <v>43465</v>
      </c>
    </row>
    <row r="129" spans="1:15" x14ac:dyDescent="0.25">
      <c r="A129" s="24" t="s">
        <v>310</v>
      </c>
      <c r="B129" s="24" t="s">
        <v>283</v>
      </c>
      <c r="C129" s="24" t="s">
        <v>311</v>
      </c>
      <c r="D129" s="24" t="s">
        <v>347</v>
      </c>
      <c r="E129" s="24" t="s">
        <v>331</v>
      </c>
      <c r="F129" s="24" t="s">
        <v>298</v>
      </c>
      <c r="G129" s="24" t="s">
        <v>288</v>
      </c>
      <c r="H129" s="2">
        <f>'Merluza sur Artesanal'!H72</f>
        <v>32.256</v>
      </c>
      <c r="I129" s="2">
        <f>'Merluza sur Artesanal'!I72</f>
        <v>0</v>
      </c>
      <c r="J129" s="2">
        <f>'Merluza sur Artesanal'!J72</f>
        <v>0</v>
      </c>
      <c r="K129" s="2">
        <f>'Merluza sur Artesanal'!K72</f>
        <v>0</v>
      </c>
      <c r="L129" s="2">
        <f>'Merluza sur Artesanal'!L72</f>
        <v>0</v>
      </c>
      <c r="M129" s="251">
        <f>'Merluza sur Artesanal'!M72</f>
        <v>0</v>
      </c>
      <c r="N129" s="261">
        <f>'Merluza sur Artesanal'!N72</f>
        <v>43166</v>
      </c>
      <c r="O129" s="278">
        <v>43465</v>
      </c>
    </row>
    <row r="130" spans="1:15" x14ac:dyDescent="0.25">
      <c r="A130" s="24" t="s">
        <v>310</v>
      </c>
      <c r="B130" s="24" t="s">
        <v>283</v>
      </c>
      <c r="C130" s="24" t="s">
        <v>311</v>
      </c>
      <c r="D130" s="24" t="s">
        <v>347</v>
      </c>
      <c r="E130" s="24" t="s">
        <v>331</v>
      </c>
      <c r="F130" s="24" t="s">
        <v>286</v>
      </c>
      <c r="G130" s="24" t="s">
        <v>288</v>
      </c>
      <c r="H130" s="2">
        <f>'Merluza sur Artesanal'!O71</f>
        <v>88.365000000000009</v>
      </c>
      <c r="I130" s="2">
        <f>'Merluza sur Artesanal'!P71</f>
        <v>-88.364999999999995</v>
      </c>
      <c r="J130" s="2">
        <f>'Merluza sur Artesanal'!Q71</f>
        <v>0</v>
      </c>
      <c r="K130" s="2">
        <f>'Merluza sur Artesanal'!R71</f>
        <v>0</v>
      </c>
      <c r="L130" s="2">
        <f>'Merluza sur Artesanal'!S71</f>
        <v>0</v>
      </c>
      <c r="M130" s="251">
        <v>0</v>
      </c>
      <c r="N130" s="261" t="s">
        <v>410</v>
      </c>
      <c r="O130" s="278">
        <v>43465</v>
      </c>
    </row>
    <row r="131" spans="1:15" x14ac:dyDescent="0.25">
      <c r="A131" s="24" t="s">
        <v>310</v>
      </c>
      <c r="B131" s="24" t="s">
        <v>283</v>
      </c>
      <c r="C131" s="24" t="s">
        <v>311</v>
      </c>
      <c r="D131" s="24" t="s">
        <v>347</v>
      </c>
      <c r="E131" s="24" t="s">
        <v>332</v>
      </c>
      <c r="F131" s="24" t="s">
        <v>286</v>
      </c>
      <c r="G131" s="24" t="s">
        <v>297</v>
      </c>
      <c r="H131" s="2">
        <f>'Merluza sur Artesanal'!H73</f>
        <v>48.855006029800002</v>
      </c>
      <c r="I131" s="2">
        <f>'Merluza sur Artesanal'!I73</f>
        <v>-48.854999999999997</v>
      </c>
      <c r="J131" s="2">
        <f>'Merluza sur Artesanal'!J73</f>
        <v>6.0298000050806877E-6</v>
      </c>
      <c r="K131" s="2">
        <f>'Merluza sur Artesanal'!K73</f>
        <v>0</v>
      </c>
      <c r="L131" s="2">
        <f>'Merluza sur Artesanal'!L73</f>
        <v>6.0298000050806877E-6</v>
      </c>
      <c r="M131" s="251">
        <f>'Merluza sur Artesanal'!M73</f>
        <v>0</v>
      </c>
      <c r="N131" s="261">
        <f>'Merluza sur Artesanal'!N73</f>
        <v>43154</v>
      </c>
      <c r="O131" s="278">
        <v>43465</v>
      </c>
    </row>
    <row r="132" spans="1:15" x14ac:dyDescent="0.25">
      <c r="A132" s="24" t="s">
        <v>310</v>
      </c>
      <c r="B132" s="24" t="s">
        <v>283</v>
      </c>
      <c r="C132" s="24" t="s">
        <v>311</v>
      </c>
      <c r="D132" s="24" t="s">
        <v>347</v>
      </c>
      <c r="E132" s="24" t="s">
        <v>332</v>
      </c>
      <c r="F132" s="24" t="s">
        <v>298</v>
      </c>
      <c r="G132" s="24" t="s">
        <v>288</v>
      </c>
      <c r="H132" s="2">
        <f>'Merluza sur Artesanal'!H74</f>
        <v>28.085254369600001</v>
      </c>
      <c r="I132" s="2">
        <f>'Merluza sur Artesanal'!I74</f>
        <v>-28.085000000000001</v>
      </c>
      <c r="J132" s="2">
        <f>'Merluza sur Artesanal'!J74</f>
        <v>2.6039940000543993E-4</v>
      </c>
      <c r="K132" s="2">
        <f>'Merluza sur Artesanal'!K74</f>
        <v>0</v>
      </c>
      <c r="L132" s="2">
        <f>'Merluza sur Artesanal'!L74</f>
        <v>2.6039940000543993E-4</v>
      </c>
      <c r="M132" s="251">
        <f>'Merluza sur Artesanal'!M74</f>
        <v>0</v>
      </c>
      <c r="N132" s="261">
        <f>'Merluza sur Artesanal'!N74</f>
        <v>43166</v>
      </c>
      <c r="O132" s="278">
        <v>43465</v>
      </c>
    </row>
    <row r="133" spans="1:15" x14ac:dyDescent="0.25">
      <c r="A133" s="24" t="s">
        <v>310</v>
      </c>
      <c r="B133" s="24" t="s">
        <v>283</v>
      </c>
      <c r="C133" s="24" t="s">
        <v>311</v>
      </c>
      <c r="D133" s="24" t="s">
        <v>347</v>
      </c>
      <c r="E133" s="24" t="s">
        <v>332</v>
      </c>
      <c r="F133" s="24" t="s">
        <v>286</v>
      </c>
      <c r="G133" s="24" t="s">
        <v>288</v>
      </c>
      <c r="H133" s="2">
        <f>'Merluza sur Artesanal'!O73</f>
        <v>76.940260399400003</v>
      </c>
      <c r="I133" s="2">
        <f>'Merluza sur Artesanal'!P73</f>
        <v>-76.94</v>
      </c>
      <c r="J133" s="2">
        <f>'Merluza sur Artesanal'!Q73</f>
        <v>2.6039940000543993E-4</v>
      </c>
      <c r="K133" s="2">
        <f>'Merluza sur Artesanal'!R73</f>
        <v>0</v>
      </c>
      <c r="L133" s="2">
        <f>'Merluza sur Artesanal'!S73</f>
        <v>2.6039940000543993E-4</v>
      </c>
      <c r="M133" s="251">
        <f>'Merluza sur Artesanal'!T73</f>
        <v>0</v>
      </c>
      <c r="N133" s="261" t="s">
        <v>410</v>
      </c>
      <c r="O133" s="278">
        <v>43465</v>
      </c>
    </row>
    <row r="134" spans="1:15" x14ac:dyDescent="0.25">
      <c r="A134" s="24" t="s">
        <v>310</v>
      </c>
      <c r="B134" s="24" t="s">
        <v>283</v>
      </c>
      <c r="C134" s="24" t="s">
        <v>311</v>
      </c>
      <c r="D134" s="24" t="s">
        <v>347</v>
      </c>
      <c r="E134" s="24" t="s">
        <v>333</v>
      </c>
      <c r="F134" s="24" t="s">
        <v>286</v>
      </c>
      <c r="G134" s="24" t="s">
        <v>297</v>
      </c>
      <c r="H134" s="2">
        <f>'Merluza sur Artesanal'!H75</f>
        <v>32.597780994799997</v>
      </c>
      <c r="I134" s="2">
        <f>'Merluza sur Artesanal'!I75</f>
        <v>-32.597999999999999</v>
      </c>
      <c r="J134" s="2">
        <f>'Merluza sur Artesanal'!J75</f>
        <v>-2.1900520000173174E-4</v>
      </c>
      <c r="K134" s="2">
        <f>'Merluza sur Artesanal'!K75</f>
        <v>0</v>
      </c>
      <c r="L134" s="2">
        <f>'Merluza sur Artesanal'!L75</f>
        <v>-2.1900520000173174E-4</v>
      </c>
      <c r="M134" s="251">
        <f>'Merluza sur Artesanal'!M75</f>
        <v>0</v>
      </c>
      <c r="N134" s="261">
        <f>'Merluza sur Artesanal'!N75</f>
        <v>43166</v>
      </c>
      <c r="O134" s="278">
        <v>43465</v>
      </c>
    </row>
    <row r="135" spans="1:15" x14ac:dyDescent="0.25">
      <c r="A135" s="24" t="s">
        <v>310</v>
      </c>
      <c r="B135" s="24" t="s">
        <v>283</v>
      </c>
      <c r="C135" s="24" t="s">
        <v>311</v>
      </c>
      <c r="D135" s="24" t="s">
        <v>347</v>
      </c>
      <c r="E135" s="24" t="s">
        <v>333</v>
      </c>
      <c r="F135" s="24" t="s">
        <v>298</v>
      </c>
      <c r="G135" s="24" t="s">
        <v>288</v>
      </c>
      <c r="H135" s="2">
        <f>'Merluza sur Artesanal'!H76</f>
        <v>18.739471049599999</v>
      </c>
      <c r="I135" s="2">
        <f>'Merluza sur Artesanal'!I76</f>
        <v>-18.739000000000001</v>
      </c>
      <c r="J135" s="2">
        <f>'Merluza sur Artesanal'!J76</f>
        <v>2.5204439999626516E-4</v>
      </c>
      <c r="K135" s="2">
        <f>'Merluza sur Artesanal'!K76</f>
        <v>0</v>
      </c>
      <c r="L135" s="2">
        <f>'Merluza sur Artesanal'!L76</f>
        <v>2.5204439999626516E-4</v>
      </c>
      <c r="M135" s="251">
        <f>'Merluza sur Artesanal'!M76</f>
        <v>0</v>
      </c>
      <c r="N135" s="261">
        <f>'Merluza sur Artesanal'!N75</f>
        <v>43166</v>
      </c>
      <c r="O135" s="278">
        <v>43465</v>
      </c>
    </row>
    <row r="136" spans="1:15" x14ac:dyDescent="0.25">
      <c r="A136" s="24" t="s">
        <v>310</v>
      </c>
      <c r="B136" s="24" t="s">
        <v>283</v>
      </c>
      <c r="C136" s="24" t="s">
        <v>311</v>
      </c>
      <c r="D136" s="24" t="s">
        <v>347</v>
      </c>
      <c r="E136" s="24" t="s">
        <v>333</v>
      </c>
      <c r="F136" s="24" t="s">
        <v>286</v>
      </c>
      <c r="G136" s="24" t="s">
        <v>288</v>
      </c>
      <c r="H136" s="2">
        <f>'Merluza sur Artesanal'!O75</f>
        <v>51.337252044399996</v>
      </c>
      <c r="I136" s="2">
        <f>'Merluza sur Artesanal'!P75</f>
        <v>-51.337000000000003</v>
      </c>
      <c r="J136" s="2">
        <f>'Merluza sur Artesanal'!Q75</f>
        <v>2.5204439999271244E-4</v>
      </c>
      <c r="K136" s="2">
        <f>'Merluza sur Artesanal'!R75</f>
        <v>0</v>
      </c>
      <c r="L136" s="2">
        <f>'Merluza sur Artesanal'!S75</f>
        <v>2.5204439999271244E-4</v>
      </c>
      <c r="M136" s="251">
        <f>'Merluza sur Artesanal'!T75</f>
        <v>0</v>
      </c>
      <c r="N136" s="261" t="s">
        <v>410</v>
      </c>
      <c r="O136" s="278">
        <v>43465</v>
      </c>
    </row>
    <row r="137" spans="1:15" x14ac:dyDescent="0.25">
      <c r="A137" s="24" t="s">
        <v>310</v>
      </c>
      <c r="B137" s="24" t="s">
        <v>283</v>
      </c>
      <c r="C137" s="24" t="s">
        <v>311</v>
      </c>
      <c r="D137" s="24" t="s">
        <v>347</v>
      </c>
      <c r="E137" s="24" t="s">
        <v>334</v>
      </c>
      <c r="F137" s="24" t="s">
        <v>286</v>
      </c>
      <c r="G137" s="24" t="s">
        <v>297</v>
      </c>
      <c r="H137" s="2">
        <f>'Merluza sur Artesanal'!H77</f>
        <v>55.404000000000003</v>
      </c>
      <c r="I137" s="2">
        <f>'Merluza sur Artesanal'!I77</f>
        <v>-39.470000000000006</v>
      </c>
      <c r="J137" s="2">
        <f>'Merluza sur Artesanal'!J77</f>
        <v>15.933999999999997</v>
      </c>
      <c r="K137" s="2">
        <f>'Merluza sur Artesanal'!K77</f>
        <v>0.75600000000000001</v>
      </c>
      <c r="L137" s="2">
        <f>'Merluza sur Artesanal'!L77</f>
        <v>15.177999999999997</v>
      </c>
      <c r="M137" s="251">
        <f>'Merluza sur Artesanal'!M77</f>
        <v>4.7445713568469945E-2</v>
      </c>
      <c r="N137" s="261" t="str">
        <f>'Merluza sur Artesanal'!N77</f>
        <v>-</v>
      </c>
      <c r="O137" s="278">
        <v>43465</v>
      </c>
    </row>
    <row r="138" spans="1:15" x14ac:dyDescent="0.25">
      <c r="A138" s="24" t="s">
        <v>310</v>
      </c>
      <c r="B138" s="24" t="s">
        <v>283</v>
      </c>
      <c r="C138" s="24" t="s">
        <v>311</v>
      </c>
      <c r="D138" s="24" t="s">
        <v>347</v>
      </c>
      <c r="E138" s="24" t="s">
        <v>334</v>
      </c>
      <c r="F138" s="24" t="s">
        <v>298</v>
      </c>
      <c r="G138" s="24" t="s">
        <v>288</v>
      </c>
      <c r="H138" s="2">
        <f>'Merluza sur Artesanal'!H78</f>
        <v>1E-3</v>
      </c>
      <c r="I138" s="2">
        <f>'Merluza sur Artesanal'!I78</f>
        <v>-12.085000000000001</v>
      </c>
      <c r="J138" s="2">
        <f>'Merluza sur Artesanal'!J78</f>
        <v>3.0939999999999959</v>
      </c>
      <c r="K138" s="2">
        <f>'Merluza sur Artesanal'!K78</f>
        <v>2.4220000000000002</v>
      </c>
      <c r="L138" s="2">
        <f>'Merluza sur Artesanal'!L78</f>
        <v>0.67199999999999571</v>
      </c>
      <c r="M138" s="251">
        <f>'Merluza sur Artesanal'!M78</f>
        <v>0.7828054298642545</v>
      </c>
      <c r="N138" s="261" t="str">
        <f>'Merluza sur Artesanal'!N78</f>
        <v>-</v>
      </c>
      <c r="O138" s="278">
        <v>43465</v>
      </c>
    </row>
    <row r="139" spans="1:15" x14ac:dyDescent="0.25">
      <c r="A139" s="24" t="s">
        <v>310</v>
      </c>
      <c r="B139" s="24" t="s">
        <v>283</v>
      </c>
      <c r="C139" s="24" t="s">
        <v>311</v>
      </c>
      <c r="D139" s="24" t="s">
        <v>347</v>
      </c>
      <c r="E139" s="24" t="s">
        <v>334</v>
      </c>
      <c r="F139" s="24" t="s">
        <v>286</v>
      </c>
      <c r="G139" s="24" t="s">
        <v>288</v>
      </c>
      <c r="H139" s="2">
        <f>'Merluza sur Artesanal'!O77</f>
        <v>55.405000000000001</v>
      </c>
      <c r="I139" s="2">
        <f>'Merluza sur Artesanal'!P77</f>
        <v>-51.555000000000007</v>
      </c>
      <c r="J139" s="2">
        <f>'Merluza sur Artesanal'!Q77</f>
        <v>3.8499999999999943</v>
      </c>
      <c r="K139" s="2">
        <f>'Merluza sur Artesanal'!R77</f>
        <v>3.1779999999999999</v>
      </c>
      <c r="L139" s="2">
        <f>'Merluza sur Artesanal'!S77</f>
        <v>0.67199999999999438</v>
      </c>
      <c r="M139" s="251">
        <f>'Merluza sur Artesanal'!T77</f>
        <v>0.82545454545454666</v>
      </c>
      <c r="N139" s="261" t="s">
        <v>410</v>
      </c>
      <c r="O139" s="278">
        <v>43465</v>
      </c>
    </row>
    <row r="140" spans="1:15" x14ac:dyDescent="0.25">
      <c r="A140" s="24" t="s">
        <v>310</v>
      </c>
      <c r="B140" s="24" t="s">
        <v>283</v>
      </c>
      <c r="C140" s="24" t="s">
        <v>311</v>
      </c>
      <c r="D140" s="24" t="s">
        <v>347</v>
      </c>
      <c r="E140" s="24" t="s">
        <v>335</v>
      </c>
      <c r="F140" s="24" t="s">
        <v>286</v>
      </c>
      <c r="G140" s="24" t="s">
        <v>297</v>
      </c>
      <c r="H140" s="2">
        <f>'Merluza sur Artesanal'!H79</f>
        <v>50.085000000000001</v>
      </c>
      <c r="I140" s="2">
        <f>'Merluza sur Artesanal'!I79</f>
        <v>-50.085000000000001</v>
      </c>
      <c r="J140" s="2">
        <f>'Merluza sur Artesanal'!J79</f>
        <v>0</v>
      </c>
      <c r="K140" s="2">
        <f>'Merluza sur Artesanal'!K79</f>
        <v>0</v>
      </c>
      <c r="L140" s="2">
        <f>'Merluza sur Artesanal'!L79</f>
        <v>0</v>
      </c>
      <c r="M140" s="251">
        <f>'Merluza sur Artesanal'!M79</f>
        <v>0</v>
      </c>
      <c r="N140" s="261">
        <f>'Merluza sur Artesanal'!N79</f>
        <v>43154</v>
      </c>
      <c r="O140" s="278">
        <v>43465</v>
      </c>
    </row>
    <row r="141" spans="1:15" x14ac:dyDescent="0.25">
      <c r="A141" s="24" t="s">
        <v>310</v>
      </c>
      <c r="B141" s="24" t="s">
        <v>283</v>
      </c>
      <c r="C141" s="24" t="s">
        <v>311</v>
      </c>
      <c r="D141" s="24" t="s">
        <v>347</v>
      </c>
      <c r="E141" s="24" t="s">
        <v>335</v>
      </c>
      <c r="F141" s="24" t="s">
        <v>298</v>
      </c>
      <c r="G141" s="24" t="s">
        <v>288</v>
      </c>
      <c r="H141" s="2">
        <f>'Merluza sur Artesanal'!H80</f>
        <v>28.792081264</v>
      </c>
      <c r="I141" s="2">
        <f>'Merluza sur Artesanal'!I80</f>
        <v>-28.792000000000002</v>
      </c>
      <c r="J141" s="2">
        <f>'Merluza sur Artesanal'!J80</f>
        <v>8.1263999998526515E-5</v>
      </c>
      <c r="K141" s="2">
        <f>'Merluza sur Artesanal'!K80</f>
        <v>0</v>
      </c>
      <c r="L141" s="2">
        <f>'Merluza sur Artesanal'!L80</f>
        <v>8.1263999998526515E-5</v>
      </c>
      <c r="M141" s="251">
        <f>'Merluza sur Artesanal'!M80</f>
        <v>0</v>
      </c>
      <c r="N141" s="261">
        <f>'Merluza sur Artesanal'!N80</f>
        <v>43166</v>
      </c>
      <c r="O141" s="278">
        <v>43465</v>
      </c>
    </row>
    <row r="142" spans="1:15" x14ac:dyDescent="0.25">
      <c r="A142" s="24" t="s">
        <v>310</v>
      </c>
      <c r="B142" s="24" t="s">
        <v>283</v>
      </c>
      <c r="C142" s="24" t="s">
        <v>311</v>
      </c>
      <c r="D142" s="24" t="s">
        <v>347</v>
      </c>
      <c r="E142" s="24" t="s">
        <v>335</v>
      </c>
      <c r="F142" s="24" t="s">
        <v>286</v>
      </c>
      <c r="G142" s="24" t="s">
        <v>288</v>
      </c>
      <c r="H142" s="2">
        <f>'Merluza sur Artesanal'!O79</f>
        <v>78.877081263999997</v>
      </c>
      <c r="I142" s="2">
        <f>'Merluza sur Artesanal'!P79</f>
        <v>-78.87700000000001</v>
      </c>
      <c r="J142" s="2">
        <f>'Merluza sur Artesanal'!Q79</f>
        <v>8.1263999987868374E-5</v>
      </c>
      <c r="K142" s="2">
        <f>'Merluza sur Artesanal'!R79</f>
        <v>0</v>
      </c>
      <c r="L142" s="2">
        <f>'Merluza sur Artesanal'!S79</f>
        <v>8.1263999987868374E-5</v>
      </c>
      <c r="M142" s="251">
        <f>'Merluza sur Artesanal'!T79</f>
        <v>0</v>
      </c>
      <c r="N142" s="261" t="s">
        <v>410</v>
      </c>
      <c r="O142" s="278">
        <v>43465</v>
      </c>
    </row>
    <row r="143" spans="1:15" x14ac:dyDescent="0.25">
      <c r="A143" s="24" t="s">
        <v>310</v>
      </c>
      <c r="B143" s="24" t="s">
        <v>283</v>
      </c>
      <c r="C143" s="24" t="s">
        <v>311</v>
      </c>
      <c r="D143" s="24" t="s">
        <v>347</v>
      </c>
      <c r="E143" s="24" t="s">
        <v>336</v>
      </c>
      <c r="F143" s="24" t="s">
        <v>286</v>
      </c>
      <c r="G143" s="24" t="s">
        <v>297</v>
      </c>
      <c r="H143" s="2">
        <f>'Merluza sur Artesanal'!H81</f>
        <v>75.7</v>
      </c>
      <c r="I143" s="2">
        <f>'Merluza sur Artesanal'!I81</f>
        <v>-41.604999999999997</v>
      </c>
      <c r="J143" s="2">
        <f>'Merluza sur Artesanal'!J81</f>
        <v>34.095000000000006</v>
      </c>
      <c r="K143" s="2">
        <f>'Merluza sur Artesanal'!K81</f>
        <v>17.818999999999999</v>
      </c>
      <c r="L143" s="2">
        <f>'Merluza sur Artesanal'!L81</f>
        <v>16.276000000000007</v>
      </c>
      <c r="M143" s="251">
        <f>'Merluza sur Artesanal'!M81</f>
        <v>0.52262795131250905</v>
      </c>
      <c r="N143" s="261" t="str">
        <f>'Merluza sur Artesanal'!N81</f>
        <v>-</v>
      </c>
      <c r="O143" s="278">
        <v>43465</v>
      </c>
    </row>
    <row r="144" spans="1:15" x14ac:dyDescent="0.25">
      <c r="A144" s="24" t="s">
        <v>310</v>
      </c>
      <c r="B144" s="24" t="s">
        <v>283</v>
      </c>
      <c r="C144" s="24" t="s">
        <v>311</v>
      </c>
      <c r="D144" s="24" t="s">
        <v>347</v>
      </c>
      <c r="E144" s="24" t="s">
        <v>336</v>
      </c>
      <c r="F144" s="24" t="s">
        <v>298</v>
      </c>
      <c r="G144" s="24" t="s">
        <v>288</v>
      </c>
      <c r="H144" s="2">
        <f>'Merluza sur Artesanal'!H82</f>
        <v>1E-3</v>
      </c>
      <c r="I144" s="2">
        <f>'Merluza sur Artesanal'!I82</f>
        <v>0</v>
      </c>
      <c r="J144" s="2">
        <f>'Merluza sur Artesanal'!J82</f>
        <v>16.277000000000008</v>
      </c>
      <c r="K144" s="2">
        <f>'Merluza sur Artesanal'!K82</f>
        <v>14.846</v>
      </c>
      <c r="L144" s="2">
        <f>'Merluza sur Artesanal'!L82</f>
        <v>1.431000000000008</v>
      </c>
      <c r="M144" s="251">
        <f>'Merluza sur Artesanal'!M82</f>
        <v>0.91208453646249266</v>
      </c>
      <c r="N144" s="261" t="str">
        <f>'Merluza sur Artesanal'!N82</f>
        <v>-</v>
      </c>
      <c r="O144" s="278">
        <v>43465</v>
      </c>
    </row>
    <row r="145" spans="1:15" x14ac:dyDescent="0.25">
      <c r="A145" s="24" t="s">
        <v>310</v>
      </c>
      <c r="B145" s="24" t="s">
        <v>283</v>
      </c>
      <c r="C145" s="24" t="s">
        <v>311</v>
      </c>
      <c r="D145" s="24" t="s">
        <v>347</v>
      </c>
      <c r="E145" s="24" t="s">
        <v>336</v>
      </c>
      <c r="F145" s="24" t="s">
        <v>286</v>
      </c>
      <c r="G145" s="24" t="s">
        <v>288</v>
      </c>
      <c r="H145" s="2">
        <f>'Merluza sur Artesanal'!O81</f>
        <v>75.701000000000008</v>
      </c>
      <c r="I145" s="2">
        <f>'Merluza sur Artesanal'!P81</f>
        <v>-41.604999999999997</v>
      </c>
      <c r="J145" s="2">
        <f>'Merluza sur Artesanal'!Q81</f>
        <v>34.096000000000011</v>
      </c>
      <c r="K145" s="2">
        <f>'Merluza sur Artesanal'!R81</f>
        <v>32.664999999999999</v>
      </c>
      <c r="L145" s="2">
        <f>'Merluza sur Artesanal'!S81</f>
        <v>1.4310000000000116</v>
      </c>
      <c r="M145" s="251">
        <f>'Merluza sur Artesanal'!T81</f>
        <v>0.95803026748005593</v>
      </c>
      <c r="N145" s="261" t="s">
        <v>410</v>
      </c>
      <c r="O145" s="278">
        <v>43465</v>
      </c>
    </row>
    <row r="146" spans="1:15" x14ac:dyDescent="0.25">
      <c r="A146" s="24" t="s">
        <v>310</v>
      </c>
      <c r="B146" s="24" t="s">
        <v>283</v>
      </c>
      <c r="C146" s="24" t="s">
        <v>311</v>
      </c>
      <c r="D146" s="24" t="s">
        <v>347</v>
      </c>
      <c r="E146" s="24" t="s">
        <v>337</v>
      </c>
      <c r="F146" s="24" t="s">
        <v>286</v>
      </c>
      <c r="G146" s="24" t="s">
        <v>297</v>
      </c>
      <c r="H146" s="2">
        <f>'Merluza sur Artesanal'!H83</f>
        <v>44.624460519600007</v>
      </c>
      <c r="I146" s="2">
        <f>'Merluza sur Artesanal'!I83</f>
        <v>-44.624000000000002</v>
      </c>
      <c r="J146" s="2">
        <f>'Merluza sur Artesanal'!J83</f>
        <v>4.6051960000426106E-4</v>
      </c>
      <c r="K146" s="2">
        <f>'Merluza sur Artesanal'!K83</f>
        <v>0</v>
      </c>
      <c r="L146" s="2">
        <f>'Merluza sur Artesanal'!L83</f>
        <v>4.6051960000426106E-4</v>
      </c>
      <c r="M146" s="251">
        <f>'Merluza sur Artesanal'!M83</f>
        <v>0</v>
      </c>
      <c r="N146" s="261" t="str">
        <f>'Merluza sur Artesanal'!N83</f>
        <v>-</v>
      </c>
      <c r="O146" s="278">
        <v>43465</v>
      </c>
    </row>
    <row r="147" spans="1:15" x14ac:dyDescent="0.25">
      <c r="A147" s="24" t="s">
        <v>310</v>
      </c>
      <c r="B147" s="24" t="s">
        <v>283</v>
      </c>
      <c r="C147" s="24" t="s">
        <v>311</v>
      </c>
      <c r="D147" s="24" t="s">
        <v>347</v>
      </c>
      <c r="E147" s="24" t="s">
        <v>337</v>
      </c>
      <c r="F147" s="24" t="s">
        <v>298</v>
      </c>
      <c r="G147" s="24" t="s">
        <v>288</v>
      </c>
      <c r="H147" s="2">
        <f>'Merluza sur Artesanal'!H84</f>
        <v>25.653242659200004</v>
      </c>
      <c r="I147" s="2">
        <f>'Merluza sur Artesanal'!I84</f>
        <v>-25.652999999999999</v>
      </c>
      <c r="J147" s="2">
        <f>'Merluza sur Artesanal'!J84</f>
        <v>7.0317880000914101E-4</v>
      </c>
      <c r="K147" s="2">
        <f>'Merluza sur Artesanal'!K84</f>
        <v>0</v>
      </c>
      <c r="L147" s="2">
        <f>'Merluza sur Artesanal'!L84</f>
        <v>7.0317880000914101E-4</v>
      </c>
      <c r="M147" s="251">
        <f>'Merluza sur Artesanal'!M84</f>
        <v>0</v>
      </c>
      <c r="N147" s="261" t="str">
        <f>'Merluza sur Artesanal'!N84</f>
        <v>-</v>
      </c>
      <c r="O147" s="278">
        <v>43465</v>
      </c>
    </row>
    <row r="148" spans="1:15" x14ac:dyDescent="0.25">
      <c r="A148" s="24" t="s">
        <v>310</v>
      </c>
      <c r="B148" s="24" t="s">
        <v>283</v>
      </c>
      <c r="C148" s="24" t="s">
        <v>311</v>
      </c>
      <c r="D148" s="24" t="s">
        <v>347</v>
      </c>
      <c r="E148" s="24" t="s">
        <v>337</v>
      </c>
      <c r="F148" s="24" t="s">
        <v>286</v>
      </c>
      <c r="G148" s="24" t="s">
        <v>288</v>
      </c>
      <c r="H148" s="2">
        <f>'Merluza sur Artesanal'!O83</f>
        <v>70.27770317880001</v>
      </c>
      <c r="I148" s="2">
        <f>'Merluza sur Artesanal'!P83</f>
        <v>-70.277000000000001</v>
      </c>
      <c r="J148" s="2">
        <f>'Merluza sur Artesanal'!Q83</f>
        <v>7.0317880000914101E-4</v>
      </c>
      <c r="K148" s="2">
        <f>'Merluza sur Artesanal'!R83</f>
        <v>0</v>
      </c>
      <c r="L148" s="2">
        <f>'Merluza sur Artesanal'!S83</f>
        <v>7.0317880000914101E-4</v>
      </c>
      <c r="M148" s="251">
        <f>'Merluza sur Artesanal'!T83</f>
        <v>0</v>
      </c>
      <c r="N148" s="261" t="s">
        <v>410</v>
      </c>
      <c r="O148" s="278">
        <v>43465</v>
      </c>
    </row>
    <row r="149" spans="1:15" x14ac:dyDescent="0.25">
      <c r="A149" s="24" t="s">
        <v>310</v>
      </c>
      <c r="B149" s="24" t="s">
        <v>283</v>
      </c>
      <c r="C149" s="24" t="s">
        <v>311</v>
      </c>
      <c r="D149" s="24" t="s">
        <v>347</v>
      </c>
      <c r="E149" s="24" t="s">
        <v>338</v>
      </c>
      <c r="F149" s="24" t="s">
        <v>286</v>
      </c>
      <c r="G149" s="24" t="s">
        <v>297</v>
      </c>
      <c r="H149" s="2">
        <f>'Merluza sur Artesanal'!H85</f>
        <v>71.795602996399992</v>
      </c>
      <c r="I149" s="2">
        <f>'Merluza sur Artesanal'!I85</f>
        <v>-71.796000000000006</v>
      </c>
      <c r="J149" s="2">
        <f>'Merluza sur Artesanal'!J85</f>
        <v>-3.9700360001404533E-4</v>
      </c>
      <c r="K149" s="2">
        <f>'Merluza sur Artesanal'!K85</f>
        <v>0</v>
      </c>
      <c r="L149" s="2">
        <f>'Merluza sur Artesanal'!L85</f>
        <v>-3.9700360001404533E-4</v>
      </c>
      <c r="M149" s="251">
        <f>'Merluza sur Artesanal'!M85</f>
        <v>0</v>
      </c>
      <c r="N149" s="261">
        <f>'Merluza sur Artesanal'!N85</f>
        <v>43166</v>
      </c>
      <c r="O149" s="278">
        <v>43465</v>
      </c>
    </row>
    <row r="150" spans="1:15" x14ac:dyDescent="0.25">
      <c r="A150" s="24" t="s">
        <v>310</v>
      </c>
      <c r="B150" s="24" t="s">
        <v>283</v>
      </c>
      <c r="C150" s="24" t="s">
        <v>311</v>
      </c>
      <c r="D150" s="24" t="s">
        <v>347</v>
      </c>
      <c r="E150" s="24" t="s">
        <v>338</v>
      </c>
      <c r="F150" s="24" t="s">
        <v>298</v>
      </c>
      <c r="G150" s="24" t="s">
        <v>288</v>
      </c>
      <c r="H150" s="2">
        <f>'Merluza sur Artesanal'!H86</f>
        <v>41.273104572800001</v>
      </c>
      <c r="I150" s="2">
        <f>'Merluza sur Artesanal'!I86</f>
        <v>-41.273000000000003</v>
      </c>
      <c r="J150" s="2">
        <f>'Merluza sur Artesanal'!J86</f>
        <v>-2.9243080001606359E-4</v>
      </c>
      <c r="K150" s="2">
        <f>'Merluza sur Artesanal'!K86</f>
        <v>0</v>
      </c>
      <c r="L150" s="2">
        <f>'Merluza sur Artesanal'!L86</f>
        <v>-2.9243080001606359E-4</v>
      </c>
      <c r="M150" s="251">
        <f>'Merluza sur Artesanal'!M86</f>
        <v>0</v>
      </c>
      <c r="N150" s="261">
        <f>'Merluza sur Artesanal'!N85</f>
        <v>43166</v>
      </c>
      <c r="O150" s="278">
        <v>43465</v>
      </c>
    </row>
    <row r="151" spans="1:15" x14ac:dyDescent="0.25">
      <c r="A151" s="24" t="s">
        <v>310</v>
      </c>
      <c r="B151" s="24" t="s">
        <v>283</v>
      </c>
      <c r="C151" s="24" t="s">
        <v>311</v>
      </c>
      <c r="D151" s="24" t="s">
        <v>347</v>
      </c>
      <c r="E151" s="24" t="s">
        <v>338</v>
      </c>
      <c r="F151" s="24" t="s">
        <v>286</v>
      </c>
      <c r="G151" s="24" t="s">
        <v>288</v>
      </c>
      <c r="H151" s="2">
        <f>'Merluza sur Artesanal'!O85</f>
        <v>113.0687075692</v>
      </c>
      <c r="I151" s="2">
        <f>'Merluza sur Artesanal'!P85</f>
        <v>-113.06900000000002</v>
      </c>
      <c r="J151" s="2">
        <f>'Merluza sur Artesanal'!Q85</f>
        <v>-2.9243080001606359E-4</v>
      </c>
      <c r="K151" s="2">
        <f>'Merluza sur Artesanal'!R85</f>
        <v>0</v>
      </c>
      <c r="L151" s="2">
        <f>'Merluza sur Artesanal'!S85</f>
        <v>-2.9243080001606359E-4</v>
      </c>
      <c r="M151" s="251">
        <f>'Merluza sur Artesanal'!T85</f>
        <v>0</v>
      </c>
      <c r="N151" s="261" t="s">
        <v>410</v>
      </c>
      <c r="O151" s="278">
        <v>43465</v>
      </c>
    </row>
    <row r="152" spans="1:15" x14ac:dyDescent="0.25">
      <c r="A152" s="24" t="s">
        <v>310</v>
      </c>
      <c r="B152" s="24" t="s">
        <v>283</v>
      </c>
      <c r="C152" s="24" t="s">
        <v>311</v>
      </c>
      <c r="D152" s="24" t="s">
        <v>347</v>
      </c>
      <c r="E152" s="24" t="s">
        <v>339</v>
      </c>
      <c r="F152" s="24" t="s">
        <v>286</v>
      </c>
      <c r="G152" s="24" t="s">
        <v>297</v>
      </c>
      <c r="H152" s="2">
        <f>'Merluza sur Artesanal'!H87</f>
        <v>67.845390142400007</v>
      </c>
      <c r="I152" s="2">
        <f>'Merluza sur Artesanal'!I87</f>
        <v>-99.106999999999999</v>
      </c>
      <c r="J152" s="2">
        <f>'Merluza sur Artesanal'!J87</f>
        <v>-31.261609857599993</v>
      </c>
      <c r="K152" s="2">
        <f>'Merluza sur Artesanal'!K87</f>
        <v>0</v>
      </c>
      <c r="L152" s="2">
        <f>'Merluza sur Artesanal'!L87</f>
        <v>-31.261609857599993</v>
      </c>
      <c r="M152" s="251">
        <f>'Merluza sur Artesanal'!M87</f>
        <v>0</v>
      </c>
      <c r="N152" s="261">
        <f>'Merluza sur Artesanal'!N87</f>
        <v>43166</v>
      </c>
      <c r="O152" s="278">
        <v>43465</v>
      </c>
    </row>
    <row r="153" spans="1:15" x14ac:dyDescent="0.25">
      <c r="A153" s="24" t="s">
        <v>310</v>
      </c>
      <c r="B153" s="24" t="s">
        <v>283</v>
      </c>
      <c r="C153" s="24" t="s">
        <v>311</v>
      </c>
      <c r="D153" s="24" t="s">
        <v>347</v>
      </c>
      <c r="E153" s="24" t="s">
        <v>339</v>
      </c>
      <c r="F153" s="24" t="s">
        <v>298</v>
      </c>
      <c r="G153" s="24" t="s">
        <v>288</v>
      </c>
      <c r="H153" s="2">
        <f>'Merluza sur Artesanal'!H88</f>
        <v>39.002247564800001</v>
      </c>
      <c r="I153" s="2">
        <f>'Merluza sur Artesanal'!I88</f>
        <v>-2.0990000000000002</v>
      </c>
      <c r="J153" s="2">
        <f>'Merluza sur Artesanal'!J88</f>
        <v>5.6416377072000046</v>
      </c>
      <c r="K153" s="2">
        <f>'Merluza sur Artesanal'!K88</f>
        <v>2.1840000000000002</v>
      </c>
      <c r="L153" s="2">
        <f>'Merluza sur Artesanal'!L88</f>
        <v>3.4576377072000044</v>
      </c>
      <c r="M153" s="251">
        <f>'Merluza sur Artesanal'!M88</f>
        <v>0</v>
      </c>
      <c r="N153" s="261" t="str">
        <f>'Merluza sur Artesanal'!N88</f>
        <v>-</v>
      </c>
      <c r="O153" s="278">
        <v>43465</v>
      </c>
    </row>
    <row r="154" spans="1:15" x14ac:dyDescent="0.25">
      <c r="A154" s="24" t="s">
        <v>310</v>
      </c>
      <c r="B154" s="24" t="s">
        <v>283</v>
      </c>
      <c r="C154" s="24" t="s">
        <v>311</v>
      </c>
      <c r="D154" s="24" t="s">
        <v>347</v>
      </c>
      <c r="E154" s="24" t="s">
        <v>339</v>
      </c>
      <c r="F154" s="24" t="s">
        <v>286</v>
      </c>
      <c r="G154" s="24" t="s">
        <v>288</v>
      </c>
      <c r="H154" s="2">
        <f>'Merluza sur Artesanal'!O87</f>
        <v>106.84763770720001</v>
      </c>
      <c r="I154" s="2">
        <f>'Merluza sur Artesanal'!P87</f>
        <v>-101.206</v>
      </c>
      <c r="J154" s="2">
        <f>'Merluza sur Artesanal'!Q87</f>
        <v>5.6416377072000046</v>
      </c>
      <c r="K154" s="2">
        <f>'Merluza sur Artesanal'!R87</f>
        <v>2.1840000000000002</v>
      </c>
      <c r="L154" s="2">
        <f>'Merluza sur Artesanal'!S87</f>
        <v>3.4576377072000044</v>
      </c>
      <c r="M154" s="251">
        <f>'Merluza sur Artesanal'!T87</f>
        <v>0.38712163264449306</v>
      </c>
      <c r="N154" s="261" t="s">
        <v>410</v>
      </c>
      <c r="O154" s="278">
        <v>43465</v>
      </c>
    </row>
    <row r="155" spans="1:15" x14ac:dyDescent="0.25">
      <c r="A155" s="24" t="s">
        <v>310</v>
      </c>
      <c r="B155" s="24" t="s">
        <v>283</v>
      </c>
      <c r="C155" s="24" t="s">
        <v>311</v>
      </c>
      <c r="D155" s="24" t="s">
        <v>347</v>
      </c>
      <c r="E155" s="24" t="s">
        <v>340</v>
      </c>
      <c r="F155" s="24" t="s">
        <v>286</v>
      </c>
      <c r="G155" s="24" t="s">
        <v>297</v>
      </c>
      <c r="H155" s="2">
        <f>'Merluza sur Artesanal'!H89</f>
        <v>8.4142136386999997</v>
      </c>
      <c r="I155" s="2">
        <f>'Merluza sur Artesanal'!I89</f>
        <v>0</v>
      </c>
      <c r="J155" s="2">
        <f>'Merluza sur Artesanal'!J89</f>
        <v>8.4142136386999997</v>
      </c>
      <c r="K155" s="2">
        <f>'Merluza sur Artesanal'!K89</f>
        <v>1.5640000000000001</v>
      </c>
      <c r="L155" s="2">
        <f>'Merluza sur Artesanal'!L89</f>
        <v>6.8502136386999997</v>
      </c>
      <c r="M155" s="251">
        <f>'Merluza sur Artesanal'!M89</f>
        <v>0</v>
      </c>
      <c r="N155" s="261" t="str">
        <f>'Merluza sur Artesanal'!N89</f>
        <v>-</v>
      </c>
      <c r="O155" s="278">
        <v>43465</v>
      </c>
    </row>
    <row r="156" spans="1:15" x14ac:dyDescent="0.25">
      <c r="A156" s="24" t="s">
        <v>310</v>
      </c>
      <c r="B156" s="24" t="s">
        <v>283</v>
      </c>
      <c r="C156" s="24" t="s">
        <v>311</v>
      </c>
      <c r="D156" s="24" t="s">
        <v>347</v>
      </c>
      <c r="E156" s="24" t="s">
        <v>340</v>
      </c>
      <c r="F156" s="24" t="s">
        <v>298</v>
      </c>
      <c r="G156" s="24" t="s">
        <v>288</v>
      </c>
      <c r="H156" s="2">
        <f>'Merluza sur Artesanal'!H90</f>
        <v>4.8370750423999995</v>
      </c>
      <c r="I156" s="2">
        <f>'Merluza sur Artesanal'!I90</f>
        <v>0</v>
      </c>
      <c r="J156" s="2">
        <f>'Merluza sur Artesanal'!J90</f>
        <v>11.6872886811</v>
      </c>
      <c r="K156" s="2">
        <f>'Merluza sur Artesanal'!K90</f>
        <v>11.242000000000001</v>
      </c>
      <c r="L156" s="2">
        <f>'Merluza sur Artesanal'!L90</f>
        <v>0.4452886810999992</v>
      </c>
      <c r="M156" s="251">
        <f>'Merluza sur Artesanal'!M90</f>
        <v>0.96189974482104701</v>
      </c>
      <c r="N156" s="261" t="str">
        <f>'Merluza sur Artesanal'!N90</f>
        <v>-</v>
      </c>
      <c r="O156" s="278">
        <v>43465</v>
      </c>
    </row>
    <row r="157" spans="1:15" x14ac:dyDescent="0.25">
      <c r="A157" s="24" t="s">
        <v>310</v>
      </c>
      <c r="B157" s="24" t="s">
        <v>283</v>
      </c>
      <c r="C157" s="24" t="s">
        <v>311</v>
      </c>
      <c r="D157" s="24" t="s">
        <v>347</v>
      </c>
      <c r="E157" s="24" t="s">
        <v>340</v>
      </c>
      <c r="F157" s="24" t="s">
        <v>286</v>
      </c>
      <c r="G157" s="24" t="s">
        <v>288</v>
      </c>
      <c r="H157" s="2">
        <f>'Merluza sur Artesanal'!O89</f>
        <v>13.2512886811</v>
      </c>
      <c r="I157" s="2">
        <f>'Merluza sur Artesanal'!P89</f>
        <v>0</v>
      </c>
      <c r="J157" s="2">
        <f>'Merluza sur Artesanal'!Q89</f>
        <v>13.2512886811</v>
      </c>
      <c r="K157" s="2">
        <f>'Merluza sur Artesanal'!R89</f>
        <v>12.806000000000001</v>
      </c>
      <c r="L157" s="2">
        <f>'Merluza sur Artesanal'!S89</f>
        <v>0.4452886810999992</v>
      </c>
      <c r="M157" s="251">
        <f>'Merluza sur Artesanal'!T89</f>
        <v>0.96639657532062495</v>
      </c>
      <c r="N157" s="261" t="s">
        <v>410</v>
      </c>
      <c r="O157" s="278">
        <v>43465</v>
      </c>
    </row>
    <row r="158" spans="1:15" x14ac:dyDescent="0.25">
      <c r="A158" s="24" t="s">
        <v>310</v>
      </c>
      <c r="B158" s="24" t="s">
        <v>283</v>
      </c>
      <c r="C158" s="24" t="s">
        <v>311</v>
      </c>
      <c r="D158" s="24" t="s">
        <v>347</v>
      </c>
      <c r="E158" s="24" t="s">
        <v>341</v>
      </c>
      <c r="F158" s="24" t="s">
        <v>286</v>
      </c>
      <c r="G158" s="24" t="s">
        <v>297</v>
      </c>
      <c r="H158" s="2">
        <f>'Merluza sur Artesanal'!H91</f>
        <v>15.399258872599999</v>
      </c>
      <c r="I158" s="2">
        <f>'Merluza sur Artesanal'!I91</f>
        <v>-15.398999999999999</v>
      </c>
      <c r="J158" s="2">
        <f>'Merluza sur Artesanal'!J91</f>
        <v>2.588725999999042E-4</v>
      </c>
      <c r="K158" s="2">
        <f>'Merluza sur Artesanal'!K91</f>
        <v>0</v>
      </c>
      <c r="L158" s="2">
        <f>'Merluza sur Artesanal'!L91</f>
        <v>2.588725999999042E-4</v>
      </c>
      <c r="M158" s="251">
        <f>'Merluza sur Artesanal'!M91</f>
        <v>0</v>
      </c>
      <c r="N158" s="261">
        <f>'Merluza sur Artesanal'!N91</f>
        <v>43166</v>
      </c>
      <c r="O158" s="278">
        <v>43465</v>
      </c>
    </row>
    <row r="159" spans="1:15" x14ac:dyDescent="0.25">
      <c r="A159" s="24" t="s">
        <v>310</v>
      </c>
      <c r="B159" s="24" t="s">
        <v>283</v>
      </c>
      <c r="C159" s="24" t="s">
        <v>311</v>
      </c>
      <c r="D159" s="24" t="s">
        <v>347</v>
      </c>
      <c r="E159" s="24" t="s">
        <v>341</v>
      </c>
      <c r="F159" s="24" t="s">
        <v>298</v>
      </c>
      <c r="G159" s="24" t="s">
        <v>288</v>
      </c>
      <c r="H159" s="2">
        <f>'Merluza sur Artesanal'!H92</f>
        <v>8.8525647151999998</v>
      </c>
      <c r="I159" s="2">
        <f>'Merluza sur Artesanal'!I92</f>
        <v>-8.8529999999999998</v>
      </c>
      <c r="J159" s="2">
        <f>'Merluza sur Artesanal'!J92</f>
        <v>-1.7641220000008673E-4</v>
      </c>
      <c r="K159" s="2">
        <f>'Merluza sur Artesanal'!K92</f>
        <v>0</v>
      </c>
      <c r="L159" s="2">
        <f>'Merluza sur Artesanal'!L92</f>
        <v>-1.7641220000008673E-4</v>
      </c>
      <c r="M159" s="251">
        <f>'Merluza sur Artesanal'!M92</f>
        <v>0</v>
      </c>
      <c r="N159" s="261">
        <f>'Merluza sur Artesanal'!N91</f>
        <v>43166</v>
      </c>
      <c r="O159" s="278">
        <v>43465</v>
      </c>
    </row>
    <row r="160" spans="1:15" x14ac:dyDescent="0.25">
      <c r="A160" s="24" t="s">
        <v>310</v>
      </c>
      <c r="B160" s="24" t="s">
        <v>283</v>
      </c>
      <c r="C160" s="24" t="s">
        <v>311</v>
      </c>
      <c r="D160" s="24" t="s">
        <v>347</v>
      </c>
      <c r="E160" s="24" t="s">
        <v>341</v>
      </c>
      <c r="F160" s="24" t="s">
        <v>286</v>
      </c>
      <c r="G160" s="24" t="s">
        <v>288</v>
      </c>
      <c r="H160" s="2">
        <f>'Merluza sur Artesanal'!O91</f>
        <v>24.251823587799997</v>
      </c>
      <c r="I160" s="2">
        <f>'Merluza sur Artesanal'!P91</f>
        <v>-24.251999999999999</v>
      </c>
      <c r="J160" s="2">
        <f>'Merluza sur Artesanal'!Q91</f>
        <v>-1.7641220000186308E-4</v>
      </c>
      <c r="K160" s="2">
        <f>'Merluza sur Artesanal'!R91</f>
        <v>0</v>
      </c>
      <c r="L160" s="2">
        <f>'Merluza sur Artesanal'!S91</f>
        <v>-1.7641220000186308E-4</v>
      </c>
      <c r="M160" s="251">
        <f>'Merluza sur Artesanal'!T91</f>
        <v>0</v>
      </c>
      <c r="N160" s="261" t="s">
        <v>410</v>
      </c>
      <c r="O160" s="278">
        <v>43465</v>
      </c>
    </row>
    <row r="161" spans="1:15" x14ac:dyDescent="0.25">
      <c r="A161" s="24" t="s">
        <v>310</v>
      </c>
      <c r="B161" s="24" t="s">
        <v>283</v>
      </c>
      <c r="C161" s="24" t="s">
        <v>311</v>
      </c>
      <c r="D161" s="24" t="s">
        <v>347</v>
      </c>
      <c r="E161" s="24" t="s">
        <v>342</v>
      </c>
      <c r="F161" s="24" t="s">
        <v>286</v>
      </c>
      <c r="G161" s="24" t="s">
        <v>297</v>
      </c>
      <c r="H161" s="2">
        <f>'Merluza sur Artesanal'!H93</f>
        <v>3.3883630711000001</v>
      </c>
      <c r="I161" s="2">
        <f>'Merluza sur Artesanal'!I93</f>
        <v>-3.3879999999999999</v>
      </c>
      <c r="J161" s="2">
        <f>'Merluza sur Artesanal'!J93</f>
        <v>3.6307110000022291E-4</v>
      </c>
      <c r="K161" s="2">
        <f>'Merluza sur Artesanal'!K93</f>
        <v>0</v>
      </c>
      <c r="L161" s="2">
        <f>'Merluza sur Artesanal'!L93</f>
        <v>3.6307110000022291E-4</v>
      </c>
      <c r="M161" s="251">
        <f>'Merluza sur Artesanal'!M93</f>
        <v>0</v>
      </c>
      <c r="N161" s="261">
        <f>'Merluza sur Artesanal'!N93</f>
        <v>43154</v>
      </c>
      <c r="O161" s="278">
        <v>43465</v>
      </c>
    </row>
    <row r="162" spans="1:15" x14ac:dyDescent="0.25">
      <c r="A162" s="24" t="s">
        <v>310</v>
      </c>
      <c r="B162" s="24" t="s">
        <v>283</v>
      </c>
      <c r="C162" s="24" t="s">
        <v>311</v>
      </c>
      <c r="D162" s="24" t="s">
        <v>347</v>
      </c>
      <c r="E162" s="24" t="s">
        <v>342</v>
      </c>
      <c r="F162" s="24" t="s">
        <v>298</v>
      </c>
      <c r="G162" s="24" t="s">
        <v>288</v>
      </c>
      <c r="H162" s="2">
        <f>'Merluza sur Artesanal'!H94</f>
        <v>1.9478666872000001</v>
      </c>
      <c r="I162" s="2">
        <f>'Merluza sur Artesanal'!I94</f>
        <v>-1.948</v>
      </c>
      <c r="J162" s="2">
        <f>'Merluza sur Artesanal'!J94</f>
        <v>2.2975830000038222E-4</v>
      </c>
      <c r="K162" s="2">
        <f>'Merluza sur Artesanal'!K94</f>
        <v>0</v>
      </c>
      <c r="L162" s="2">
        <f>'Merluza sur Artesanal'!L94</f>
        <v>2.2975830000038222E-4</v>
      </c>
      <c r="M162" s="251">
        <f>'Merluza sur Artesanal'!M94</f>
        <v>0</v>
      </c>
      <c r="N162" s="261">
        <f>'Merluza sur Artesanal'!N94</f>
        <v>43166</v>
      </c>
      <c r="O162" s="278">
        <v>43465</v>
      </c>
    </row>
    <row r="163" spans="1:15" x14ac:dyDescent="0.25">
      <c r="A163" s="24" t="s">
        <v>310</v>
      </c>
      <c r="B163" s="24" t="s">
        <v>283</v>
      </c>
      <c r="C163" s="24" t="s">
        <v>311</v>
      </c>
      <c r="D163" s="24" t="s">
        <v>347</v>
      </c>
      <c r="E163" s="24" t="s">
        <v>342</v>
      </c>
      <c r="F163" s="24" t="s">
        <v>286</v>
      </c>
      <c r="G163" s="24" t="s">
        <v>288</v>
      </c>
      <c r="H163" s="2">
        <f>'Merluza sur Artesanal'!O93</f>
        <v>5.3362297583</v>
      </c>
      <c r="I163" s="2">
        <f>'Merluza sur Artesanal'!P93</f>
        <v>-5.3360000000000003</v>
      </c>
      <c r="J163" s="2">
        <f>'Merluza sur Artesanal'!Q93</f>
        <v>2.2975829999971609E-4</v>
      </c>
      <c r="K163" s="2">
        <f>'Merluza sur Artesanal'!R93</f>
        <v>0</v>
      </c>
      <c r="L163" s="2">
        <f>'Merluza sur Artesanal'!S93</f>
        <v>2.2975829999971609E-4</v>
      </c>
      <c r="M163" s="251">
        <f>'Merluza sur Artesanal'!T93</f>
        <v>0</v>
      </c>
      <c r="N163" s="261" t="s">
        <v>410</v>
      </c>
      <c r="O163" s="278">
        <v>43465</v>
      </c>
    </row>
    <row r="164" spans="1:15" x14ac:dyDescent="0.25">
      <c r="A164" s="24" t="s">
        <v>310</v>
      </c>
      <c r="B164" s="24" t="s">
        <v>283</v>
      </c>
      <c r="C164" s="24" t="s">
        <v>311</v>
      </c>
      <c r="D164" s="24" t="s">
        <v>347</v>
      </c>
      <c r="E164" s="24" t="s">
        <v>343</v>
      </c>
      <c r="F164" s="24" t="s">
        <v>286</v>
      </c>
      <c r="G164" s="24" t="s">
        <v>297</v>
      </c>
      <c r="H164" s="2">
        <f>'Merluza sur Artesanal'!H95</f>
        <v>14.0250910005</v>
      </c>
      <c r="I164" s="2">
        <f>'Merluza sur Artesanal'!I95</f>
        <v>-14.025</v>
      </c>
      <c r="J164" s="2">
        <f>'Merluza sur Artesanal'!J95</f>
        <v>9.1000499999438489E-5</v>
      </c>
      <c r="K164" s="2">
        <f>'Merluza sur Artesanal'!K95</f>
        <v>0</v>
      </c>
      <c r="L164" s="2">
        <f>'Merluza sur Artesanal'!L95</f>
        <v>9.1000499999438489E-5</v>
      </c>
      <c r="M164" s="251">
        <f>'Merluza sur Artesanal'!M95</f>
        <v>0</v>
      </c>
      <c r="N164" s="261">
        <f>'Merluza sur Artesanal'!N95</f>
        <v>43166</v>
      </c>
      <c r="O164" s="278">
        <v>43465</v>
      </c>
    </row>
    <row r="165" spans="1:15" x14ac:dyDescent="0.25">
      <c r="A165" s="24" t="s">
        <v>310</v>
      </c>
      <c r="B165" s="24" t="s">
        <v>283</v>
      </c>
      <c r="C165" s="24" t="s">
        <v>311</v>
      </c>
      <c r="D165" s="24" t="s">
        <v>347</v>
      </c>
      <c r="E165" s="24" t="s">
        <v>343</v>
      </c>
      <c r="F165" s="24" t="s">
        <v>298</v>
      </c>
      <c r="G165" s="24" t="s">
        <v>288</v>
      </c>
      <c r="H165" s="2">
        <f>'Merluza sur Artesanal'!H96</f>
        <v>8.0625974760000005</v>
      </c>
      <c r="I165" s="2">
        <f>'Merluza sur Artesanal'!I96</f>
        <v>-8.0630000000000006</v>
      </c>
      <c r="J165" s="2">
        <f>'Merluza sur Artesanal'!J96</f>
        <v>-3.1152350000063223E-4</v>
      </c>
      <c r="K165" s="2">
        <f>'Merluza sur Artesanal'!K96</f>
        <v>0</v>
      </c>
      <c r="L165" s="2">
        <f>'Merluza sur Artesanal'!L96</f>
        <v>-3.1152350000063223E-4</v>
      </c>
      <c r="M165" s="251">
        <f>'Merluza sur Artesanal'!M96</f>
        <v>0</v>
      </c>
      <c r="N165" s="261">
        <f>'Merluza sur Artesanal'!N95</f>
        <v>43166</v>
      </c>
      <c r="O165" s="278">
        <v>43465</v>
      </c>
    </row>
    <row r="166" spans="1:15" x14ac:dyDescent="0.25">
      <c r="A166" s="24" t="s">
        <v>310</v>
      </c>
      <c r="B166" s="24" t="s">
        <v>283</v>
      </c>
      <c r="C166" s="24" t="s">
        <v>311</v>
      </c>
      <c r="D166" s="24" t="s">
        <v>347</v>
      </c>
      <c r="E166" s="24" t="s">
        <v>343</v>
      </c>
      <c r="F166" s="24" t="s">
        <v>286</v>
      </c>
      <c r="G166" s="24" t="s">
        <v>288</v>
      </c>
      <c r="H166" s="2">
        <f>'Merluza sur Artesanal'!O95</f>
        <v>22.087688476499999</v>
      </c>
      <c r="I166" s="2">
        <f>'Merluza sur Artesanal'!P95</f>
        <v>-22.088000000000001</v>
      </c>
      <c r="J166" s="2">
        <f>'Merluza sur Artesanal'!Q95</f>
        <v>-3.1152350000240858E-4</v>
      </c>
      <c r="K166" s="2">
        <f>'Merluza sur Artesanal'!R95</f>
        <v>0</v>
      </c>
      <c r="L166" s="2">
        <f>'Merluza sur Artesanal'!S95</f>
        <v>-3.1152350000240858E-4</v>
      </c>
      <c r="M166" s="251">
        <f>'Merluza sur Artesanal'!T95</f>
        <v>0</v>
      </c>
      <c r="N166" s="261" t="s">
        <v>410</v>
      </c>
      <c r="O166" s="278">
        <v>43465</v>
      </c>
    </row>
    <row r="167" spans="1:15" x14ac:dyDescent="0.25">
      <c r="A167" s="24" t="s">
        <v>310</v>
      </c>
      <c r="B167" s="24" t="s">
        <v>283</v>
      </c>
      <c r="C167" s="24" t="s">
        <v>311</v>
      </c>
      <c r="D167" s="24" t="s">
        <v>347</v>
      </c>
      <c r="E167" s="24" t="s">
        <v>344</v>
      </c>
      <c r="F167" s="24" t="s">
        <v>286</v>
      </c>
      <c r="G167" s="24" t="s">
        <v>297</v>
      </c>
      <c r="H167" s="2">
        <f>'Merluza sur Artesanal'!H97</f>
        <v>4.4434891433999999</v>
      </c>
      <c r="I167" s="2">
        <f>'Merluza sur Artesanal'!I97</f>
        <v>-4.4429999999999996</v>
      </c>
      <c r="J167" s="2">
        <f>'Merluza sur Artesanal'!J97</f>
        <v>4.8914340000028034E-4</v>
      </c>
      <c r="K167" s="2">
        <f>'Merluza sur Artesanal'!K97</f>
        <v>0</v>
      </c>
      <c r="L167" s="2">
        <f>'Merluza sur Artesanal'!L97</f>
        <v>4.8914340000028034E-4</v>
      </c>
      <c r="M167" s="251">
        <f>'Merluza sur Artesanal'!M97</f>
        <v>0</v>
      </c>
      <c r="N167" s="261">
        <f>'Merluza sur Artesanal'!N97</f>
        <v>43154</v>
      </c>
      <c r="O167" s="278">
        <v>43465</v>
      </c>
    </row>
    <row r="168" spans="1:15" x14ac:dyDescent="0.25">
      <c r="A168" s="24" t="s">
        <v>310</v>
      </c>
      <c r="B168" s="24" t="s">
        <v>283</v>
      </c>
      <c r="C168" s="24" t="s">
        <v>311</v>
      </c>
      <c r="D168" s="24" t="s">
        <v>347</v>
      </c>
      <c r="E168" s="24" t="s">
        <v>344</v>
      </c>
      <c r="F168" s="24" t="s">
        <v>298</v>
      </c>
      <c r="G168" s="24" t="s">
        <v>288</v>
      </c>
      <c r="H168" s="2">
        <f>'Merluza sur Artesanal'!H98</f>
        <v>2.5544265168</v>
      </c>
      <c r="I168" s="2">
        <f>'Merluza sur Artesanal'!I98</f>
        <v>-2.5539999999999998</v>
      </c>
      <c r="J168" s="2">
        <f>'Merluza sur Artesanal'!J98</f>
        <v>9.1566020000044546E-4</v>
      </c>
      <c r="K168" s="2">
        <f>'Merluza sur Artesanal'!K98</f>
        <v>0</v>
      </c>
      <c r="L168" s="2">
        <f>'Merluza sur Artesanal'!L98</f>
        <v>9.1566020000044546E-4</v>
      </c>
      <c r="M168" s="251">
        <f>'Merluza sur Artesanal'!M98</f>
        <v>0</v>
      </c>
      <c r="N168" s="261">
        <f>'Merluza sur Artesanal'!N98</f>
        <v>43166</v>
      </c>
      <c r="O168" s="278">
        <v>43465</v>
      </c>
    </row>
    <row r="169" spans="1:15" x14ac:dyDescent="0.25">
      <c r="A169" s="24" t="s">
        <v>310</v>
      </c>
      <c r="B169" s="24" t="s">
        <v>283</v>
      </c>
      <c r="C169" s="24" t="s">
        <v>311</v>
      </c>
      <c r="D169" s="24" t="s">
        <v>347</v>
      </c>
      <c r="E169" s="24" t="s">
        <v>344</v>
      </c>
      <c r="F169" s="24" t="s">
        <v>286</v>
      </c>
      <c r="G169" s="24" t="s">
        <v>288</v>
      </c>
      <c r="H169" s="2">
        <f>'Merluza sur Artesanal'!O97</f>
        <v>6.9979156602000003</v>
      </c>
      <c r="I169" s="2">
        <f>'Merluza sur Artesanal'!P97</f>
        <v>-6.9969999999999999</v>
      </c>
      <c r="J169" s="2">
        <f>'Merluza sur Artesanal'!Q97</f>
        <v>9.1566020000044546E-4</v>
      </c>
      <c r="K169" s="2">
        <f>'Merluza sur Artesanal'!R97</f>
        <v>0</v>
      </c>
      <c r="L169" s="2">
        <f>'Merluza sur Artesanal'!S97</f>
        <v>9.1566020000044546E-4</v>
      </c>
      <c r="M169" s="251">
        <f>'Merluza sur Artesanal'!T97</f>
        <v>0</v>
      </c>
      <c r="N169" s="261" t="s">
        <v>410</v>
      </c>
      <c r="O169" s="278">
        <v>43465</v>
      </c>
    </row>
    <row r="170" spans="1:15" x14ac:dyDescent="0.25">
      <c r="A170" s="24" t="s">
        <v>310</v>
      </c>
      <c r="B170" s="24" t="s">
        <v>283</v>
      </c>
      <c r="C170" s="24" t="s">
        <v>311</v>
      </c>
      <c r="D170" s="24" t="s">
        <v>347</v>
      </c>
      <c r="E170" s="24" t="s">
        <v>345</v>
      </c>
      <c r="F170" s="24" t="s">
        <v>286</v>
      </c>
      <c r="G170" s="24" t="s">
        <v>297</v>
      </c>
      <c r="H170" s="2">
        <f>'Merluza sur Artesanal'!H99</f>
        <v>10.510682333</v>
      </c>
      <c r="I170" s="2">
        <f>'Merluza sur Artesanal'!I99</f>
        <v>-10.510999999999999</v>
      </c>
      <c r="J170" s="2">
        <f>'Merluza sur Artesanal'!J99</f>
        <v>-3.1766699999913328E-4</v>
      </c>
      <c r="K170" s="2">
        <f>'Merluza sur Artesanal'!K99</f>
        <v>0</v>
      </c>
      <c r="L170" s="2">
        <f>'Merluza sur Artesanal'!L99</f>
        <v>-3.1766699999913328E-4</v>
      </c>
      <c r="M170" s="251">
        <f>'Merluza sur Artesanal'!M99</f>
        <v>0</v>
      </c>
      <c r="N170" s="261" t="str">
        <f>'Merluza sur Artesanal'!N99</f>
        <v>-</v>
      </c>
      <c r="O170" s="278">
        <v>43465</v>
      </c>
    </row>
    <row r="171" spans="1:15" x14ac:dyDescent="0.25">
      <c r="A171" s="24" t="s">
        <v>310</v>
      </c>
      <c r="B171" s="24" t="s">
        <v>283</v>
      </c>
      <c r="C171" s="24" t="s">
        <v>311</v>
      </c>
      <c r="D171" s="24" t="s">
        <v>347</v>
      </c>
      <c r="E171" s="24" t="s">
        <v>345</v>
      </c>
      <c r="F171" s="24" t="s">
        <v>298</v>
      </c>
      <c r="G171" s="24" t="s">
        <v>288</v>
      </c>
      <c r="H171" s="2">
        <f>'Merluza sur Artesanal'!H100</f>
        <v>6.0422710159999999</v>
      </c>
      <c r="I171" s="2">
        <f>'Merluza sur Artesanal'!I100</f>
        <v>-5.6890000000000001</v>
      </c>
      <c r="J171" s="2">
        <f>'Merluza sur Artesanal'!J100</f>
        <v>0.35295334900000075</v>
      </c>
      <c r="K171" s="2">
        <f>'Merluza sur Artesanal'!K100</f>
        <v>5.6000000000000001E-2</v>
      </c>
      <c r="L171" s="2">
        <f>'Merluza sur Artesanal'!L100</f>
        <v>0.29695334900000075</v>
      </c>
      <c r="M171" s="251">
        <f>'Merluza sur Artesanal'!M100</f>
        <v>0.15866119462716838</v>
      </c>
      <c r="N171" s="261" t="str">
        <f>'Merluza sur Artesanal'!N100</f>
        <v>-</v>
      </c>
      <c r="O171" s="278">
        <v>43465</v>
      </c>
    </row>
    <row r="172" spans="1:15" x14ac:dyDescent="0.25">
      <c r="A172" s="24" t="s">
        <v>310</v>
      </c>
      <c r="B172" s="24" t="s">
        <v>283</v>
      </c>
      <c r="C172" s="24" t="s">
        <v>311</v>
      </c>
      <c r="D172" s="24" t="s">
        <v>347</v>
      </c>
      <c r="E172" s="24" t="s">
        <v>345</v>
      </c>
      <c r="F172" s="24" t="s">
        <v>286</v>
      </c>
      <c r="G172" s="24" t="s">
        <v>288</v>
      </c>
      <c r="H172" s="2">
        <f>'Merluza sur Artesanal'!O99</f>
        <v>16.552953348999999</v>
      </c>
      <c r="I172" s="2">
        <f>'Merluza sur Artesanal'!P99</f>
        <v>-16.2</v>
      </c>
      <c r="J172" s="2">
        <f>'Merluza sur Artesanal'!Q99</f>
        <v>0.35295334899999986</v>
      </c>
      <c r="K172" s="2">
        <f>'Merluza sur Artesanal'!R99</f>
        <v>5.6000000000000001E-2</v>
      </c>
      <c r="L172" s="2">
        <f>'Merluza sur Artesanal'!S99</f>
        <v>0.29695334899999987</v>
      </c>
      <c r="M172" s="251">
        <f>'Merluza sur Artesanal'!T99</f>
        <v>0.15866119462716877</v>
      </c>
      <c r="N172" s="261" t="s">
        <v>410</v>
      </c>
      <c r="O172" s="278">
        <v>43465</v>
      </c>
    </row>
    <row r="173" spans="1:15" x14ac:dyDescent="0.25">
      <c r="A173" s="24" t="s">
        <v>310</v>
      </c>
      <c r="B173" s="24" t="s">
        <v>283</v>
      </c>
      <c r="C173" s="24" t="s">
        <v>311</v>
      </c>
      <c r="D173" s="24" t="s">
        <v>347</v>
      </c>
      <c r="E173" s="24" t="s">
        <v>346</v>
      </c>
      <c r="F173" s="24" t="s">
        <v>286</v>
      </c>
      <c r="G173" s="24" t="s">
        <v>297</v>
      </c>
      <c r="H173" s="2">
        <f>'Merluza sur Artesanal'!H101</f>
        <v>7.7249999999999996</v>
      </c>
      <c r="I173" s="2">
        <f>'Merluza sur Artesanal'!I101</f>
        <v>0</v>
      </c>
      <c r="J173" s="2">
        <f>'Merluza sur Artesanal'!J101</f>
        <v>7.7249999999999996</v>
      </c>
      <c r="K173" s="2">
        <f>'Merluza sur Artesanal'!K101</f>
        <v>5.444</v>
      </c>
      <c r="L173" s="2">
        <f>'Merluza sur Artesanal'!L101</f>
        <v>2.2809999999999997</v>
      </c>
      <c r="M173" s="251">
        <f>'Merluza sur Artesanal'!M101</f>
        <v>0.70472491909385115</v>
      </c>
      <c r="N173" s="261" t="str">
        <f>'Merluza sur Artesanal'!N101</f>
        <v>-</v>
      </c>
      <c r="O173" s="278">
        <v>43465</v>
      </c>
    </row>
    <row r="174" spans="1:15" x14ac:dyDescent="0.25">
      <c r="A174" s="24" t="s">
        <v>310</v>
      </c>
      <c r="B174" s="24" t="s">
        <v>283</v>
      </c>
      <c r="C174" s="24" t="s">
        <v>311</v>
      </c>
      <c r="D174" s="24" t="s">
        <v>347</v>
      </c>
      <c r="E174" s="24" t="s">
        <v>346</v>
      </c>
      <c r="F174" s="24" t="s">
        <v>298</v>
      </c>
      <c r="G174" s="24" t="s">
        <v>288</v>
      </c>
      <c r="H174" s="2">
        <f>'Merluza sur Artesanal'!H102</f>
        <v>1E-3</v>
      </c>
      <c r="I174" s="2">
        <f>'Merluza sur Artesanal'!I102</f>
        <v>0</v>
      </c>
      <c r="J174" s="2">
        <f>'Merluza sur Artesanal'!J102</f>
        <v>2.2819999999999996</v>
      </c>
      <c r="K174" s="2">
        <f>'Merluza sur Artesanal'!K102</f>
        <v>2.2759999999999998</v>
      </c>
      <c r="L174" s="2">
        <f>'Merluza sur Artesanal'!L102</f>
        <v>5.9999999999997833E-3</v>
      </c>
      <c r="M174" s="251">
        <f>'Merluza sur Artesanal'!M102</f>
        <v>0.99737072743207722</v>
      </c>
      <c r="N174" s="261" t="str">
        <f>'Merluza sur Artesanal'!N102</f>
        <v>-</v>
      </c>
      <c r="O174" s="278">
        <v>43465</v>
      </c>
    </row>
    <row r="175" spans="1:15" x14ac:dyDescent="0.25">
      <c r="A175" s="24" t="s">
        <v>310</v>
      </c>
      <c r="B175" s="24" t="s">
        <v>283</v>
      </c>
      <c r="C175" s="24" t="s">
        <v>311</v>
      </c>
      <c r="D175" s="24" t="s">
        <v>347</v>
      </c>
      <c r="E175" s="24" t="s">
        <v>346</v>
      </c>
      <c r="F175" s="24" t="s">
        <v>286</v>
      </c>
      <c r="G175" s="24" t="s">
        <v>288</v>
      </c>
      <c r="H175" s="2">
        <f>'Merluza sur Artesanal'!O101</f>
        <v>7.726</v>
      </c>
      <c r="I175" s="2">
        <f>'Merluza sur Artesanal'!P101</f>
        <v>0</v>
      </c>
      <c r="J175" s="2">
        <f>'Merluza sur Artesanal'!Q101</f>
        <v>7.726</v>
      </c>
      <c r="K175" s="2">
        <f>'Merluza sur Artesanal'!R101</f>
        <v>7.72</v>
      </c>
      <c r="L175" s="2">
        <f>'Merluza sur Artesanal'!S101</f>
        <v>6.0000000000002274E-3</v>
      </c>
      <c r="M175" s="251">
        <f>'Merluza sur Artesanal'!T101</f>
        <v>0.99922340150142375</v>
      </c>
      <c r="N175" s="261" t="s">
        <v>410</v>
      </c>
      <c r="O175" s="278">
        <v>43465</v>
      </c>
    </row>
    <row r="176" spans="1:15" x14ac:dyDescent="0.25">
      <c r="A176" s="24" t="s">
        <v>310</v>
      </c>
      <c r="B176" s="24" t="s">
        <v>283</v>
      </c>
      <c r="C176" s="24" t="s">
        <v>311</v>
      </c>
      <c r="D176" s="24" t="s">
        <v>348</v>
      </c>
      <c r="E176" s="24" t="s">
        <v>349</v>
      </c>
      <c r="F176" s="24" t="s">
        <v>286</v>
      </c>
      <c r="G176" s="24" t="s">
        <v>297</v>
      </c>
      <c r="H176" s="2">
        <f>'Merluza sur Artesanal'!AA37</f>
        <v>52.663275725399998</v>
      </c>
      <c r="I176" s="2">
        <f>'Merluza sur Artesanal'!AB37</f>
        <v>-52.662999999999997</v>
      </c>
      <c r="J176" s="2">
        <f>'Merluza sur Artesanal'!AC37</f>
        <v>2.7572540000164736E-4</v>
      </c>
      <c r="K176" s="2">
        <f>'Merluza sur Artesanal'!AD37</f>
        <v>1.333</v>
      </c>
      <c r="L176" s="2">
        <f>'Merluza sur Artesanal'!AE37</f>
        <v>-1.3327242745999983</v>
      </c>
      <c r="M176" s="251">
        <f>'Merluza sur Artesanal'!AF37</f>
        <v>1</v>
      </c>
      <c r="N176" s="261">
        <f>'Merluza sur Artesanal'!AG37</f>
        <v>43166</v>
      </c>
      <c r="O176" s="278">
        <v>43465</v>
      </c>
    </row>
    <row r="177" spans="1:15" x14ac:dyDescent="0.25">
      <c r="A177" s="24" t="s">
        <v>310</v>
      </c>
      <c r="B177" s="24" t="s">
        <v>283</v>
      </c>
      <c r="C177" s="24" t="s">
        <v>311</v>
      </c>
      <c r="D177" s="24" t="s">
        <v>348</v>
      </c>
      <c r="E177" s="24" t="s">
        <v>349</v>
      </c>
      <c r="F177" s="24" t="s">
        <v>298</v>
      </c>
      <c r="G177" s="24" t="s">
        <v>288</v>
      </c>
      <c r="H177" s="2">
        <f>'Merluza sur Artesanal'!AA38</f>
        <v>30.2745125808</v>
      </c>
      <c r="I177" s="2">
        <f>'Merluza sur Artesanal'!AB38</f>
        <v>-28.677</v>
      </c>
      <c r="J177" s="2">
        <f>'Merluza sur Artesanal'!AC38</f>
        <v>0.26478830620000182</v>
      </c>
      <c r="K177" s="2">
        <f>'Merluza sur Artesanal'!AD38</f>
        <v>0.25600000000000001</v>
      </c>
      <c r="L177" s="2">
        <f>'Merluza sur Artesanal'!AE38</f>
        <v>8.7883062000018164E-3</v>
      </c>
      <c r="M177" s="251">
        <f>'Merluza sur Artesanal'!AF38</f>
        <v>0.96681006678080506</v>
      </c>
      <c r="N177" s="261" t="str">
        <f>'Merluza sur Artesanal'!AG38</f>
        <v>-</v>
      </c>
      <c r="O177" s="278">
        <v>43465</v>
      </c>
    </row>
    <row r="178" spans="1:15" x14ac:dyDescent="0.25">
      <c r="A178" s="24" t="s">
        <v>310</v>
      </c>
      <c r="B178" s="24" t="s">
        <v>283</v>
      </c>
      <c r="C178" s="24" t="s">
        <v>311</v>
      </c>
      <c r="D178" s="24" t="s">
        <v>348</v>
      </c>
      <c r="E178" s="24" t="s">
        <v>349</v>
      </c>
      <c r="F178" s="24" t="s">
        <v>286</v>
      </c>
      <c r="G178" s="24" t="s">
        <v>288</v>
      </c>
      <c r="H178" s="2">
        <f>'Merluza sur Artesanal'!AH37</f>
        <v>82.937788306199991</v>
      </c>
      <c r="I178" s="2">
        <f>'Merluza sur Artesanal'!AI37</f>
        <v>-81.34</v>
      </c>
      <c r="J178" s="2">
        <f>'Merluza sur Artesanal'!AJ37</f>
        <v>1.5977883061999876</v>
      </c>
      <c r="K178" s="2">
        <f>'Merluza sur Artesanal'!AK37</f>
        <v>1.589</v>
      </c>
      <c r="L178" s="2">
        <f>'Merluza sur Artesanal'!AL37</f>
        <v>8.7883061999876055E-3</v>
      </c>
      <c r="M178" s="251">
        <f>'Merluza sur Artesanal'!AM37</f>
        <v>0.9944997055205087</v>
      </c>
      <c r="N178" s="261" t="s">
        <v>410</v>
      </c>
      <c r="O178" s="278">
        <v>43465</v>
      </c>
    </row>
    <row r="179" spans="1:15" x14ac:dyDescent="0.25">
      <c r="A179" s="24" t="s">
        <v>310</v>
      </c>
      <c r="B179" s="24" t="s">
        <v>283</v>
      </c>
      <c r="C179" s="24" t="s">
        <v>311</v>
      </c>
      <c r="D179" s="24" t="s">
        <v>348</v>
      </c>
      <c r="E179" s="24" t="s">
        <v>350</v>
      </c>
      <c r="F179" s="24" t="s">
        <v>286</v>
      </c>
      <c r="G179" s="24" t="s">
        <v>297</v>
      </c>
      <c r="H179" s="2">
        <f>'Merluza sur Artesanal'!AA39</f>
        <v>22.946607998700003</v>
      </c>
      <c r="I179" s="2">
        <f>'Merluza sur Artesanal'!AB39</f>
        <v>-22.946999999999999</v>
      </c>
      <c r="J179" s="2">
        <f>'Merluza sur Artesanal'!AC39</f>
        <v>-3.9200129999628075E-4</v>
      </c>
      <c r="K179" s="2">
        <f>'Merluza sur Artesanal'!AD39</f>
        <v>0</v>
      </c>
      <c r="L179" s="2">
        <f>'Merluza sur Artesanal'!AE39</f>
        <v>-3.9200129999628075E-4</v>
      </c>
      <c r="M179" s="251">
        <f>'Merluza sur Artesanal'!AF39</f>
        <v>0</v>
      </c>
      <c r="N179" s="261">
        <f>'Merluza sur Artesanal'!AG39</f>
        <v>43154</v>
      </c>
      <c r="O179" s="278">
        <v>43465</v>
      </c>
    </row>
    <row r="180" spans="1:15" x14ac:dyDescent="0.25">
      <c r="A180" s="24" t="s">
        <v>310</v>
      </c>
      <c r="B180" s="24" t="s">
        <v>283</v>
      </c>
      <c r="C180" s="24" t="s">
        <v>311</v>
      </c>
      <c r="D180" s="24" t="s">
        <v>348</v>
      </c>
      <c r="E180" s="24" t="s">
        <v>350</v>
      </c>
      <c r="F180" s="24" t="s">
        <v>298</v>
      </c>
      <c r="G180" s="24" t="s">
        <v>288</v>
      </c>
      <c r="H180" s="2">
        <f>'Merluza sur Artesanal'!AA40</f>
        <v>13.191305762400001</v>
      </c>
      <c r="I180" s="2">
        <f>'Merluza sur Artesanal'!AB40</f>
        <v>-13.191000000000001</v>
      </c>
      <c r="J180" s="2">
        <f>'Merluza sur Artesanal'!AC40</f>
        <v>-8.6238899996260443E-5</v>
      </c>
      <c r="K180" s="2">
        <f>'Merluza sur Artesanal'!AD40</f>
        <v>0</v>
      </c>
      <c r="L180" s="2">
        <f>'Merluza sur Artesanal'!AE40</f>
        <v>-8.6238899996260443E-5</v>
      </c>
      <c r="M180" s="251">
        <f>'Merluza sur Artesanal'!AF40</f>
        <v>0</v>
      </c>
      <c r="N180" s="261">
        <f>'Merluza sur Artesanal'!AG40</f>
        <v>43166</v>
      </c>
      <c r="O180" s="278">
        <v>43465</v>
      </c>
    </row>
    <row r="181" spans="1:15" x14ac:dyDescent="0.25">
      <c r="A181" s="24" t="s">
        <v>310</v>
      </c>
      <c r="B181" s="24" t="s">
        <v>283</v>
      </c>
      <c r="C181" s="24" t="s">
        <v>311</v>
      </c>
      <c r="D181" s="24" t="s">
        <v>348</v>
      </c>
      <c r="E181" s="24" t="s">
        <v>350</v>
      </c>
      <c r="F181" s="24" t="s">
        <v>286</v>
      </c>
      <c r="G181" s="24" t="s">
        <v>288</v>
      </c>
      <c r="H181" s="2">
        <f>'Merluza sur Artesanal'!AH39</f>
        <v>36.137913761100002</v>
      </c>
      <c r="I181" s="2">
        <f>'Merluza sur Artesanal'!AI39</f>
        <v>-36.137999999999998</v>
      </c>
      <c r="J181" s="2">
        <f>'Merluza sur Artesanal'!AJ39</f>
        <v>-8.6238899996260443E-5</v>
      </c>
      <c r="K181" s="2">
        <f>'Merluza sur Artesanal'!AK39</f>
        <v>0</v>
      </c>
      <c r="L181" s="2">
        <f>'Merluza sur Artesanal'!AL39</f>
        <v>-8.6238899996260443E-5</v>
      </c>
      <c r="M181" s="251">
        <f>'Merluza sur Artesanal'!AM39</f>
        <v>0</v>
      </c>
      <c r="N181" s="261" t="s">
        <v>410</v>
      </c>
      <c r="O181" s="278">
        <v>43465</v>
      </c>
    </row>
    <row r="182" spans="1:15" x14ac:dyDescent="0.25">
      <c r="A182" s="24" t="s">
        <v>310</v>
      </c>
      <c r="B182" s="24" t="s">
        <v>283</v>
      </c>
      <c r="C182" s="24" t="s">
        <v>311</v>
      </c>
      <c r="D182" s="24" t="s">
        <v>348</v>
      </c>
      <c r="E182" s="24" t="s">
        <v>351</v>
      </c>
      <c r="F182" s="24" t="s">
        <v>286</v>
      </c>
      <c r="G182" s="24" t="s">
        <v>297</v>
      </c>
      <c r="H182" s="2">
        <f>'Merluza sur Artesanal'!AA41</f>
        <v>20.071414592099998</v>
      </c>
      <c r="I182" s="2">
        <f>'Merluza sur Artesanal'!AB41</f>
        <v>-20.071000000000002</v>
      </c>
      <c r="J182" s="2">
        <f>'Merluza sur Artesanal'!AC41</f>
        <v>4.1459209999672453E-4</v>
      </c>
      <c r="K182" s="2">
        <f>'Merluza sur Artesanal'!AD41</f>
        <v>0</v>
      </c>
      <c r="L182" s="2">
        <f>'Merluza sur Artesanal'!AE41</f>
        <v>4.1459209999672453E-4</v>
      </c>
      <c r="M182" s="251">
        <f>'Merluza sur Artesanal'!AF41</f>
        <v>0</v>
      </c>
      <c r="N182" s="261">
        <f>'Merluza sur Artesanal'!AG41</f>
        <v>43166</v>
      </c>
      <c r="O182" s="278">
        <v>43465</v>
      </c>
    </row>
    <row r="183" spans="1:15" x14ac:dyDescent="0.25">
      <c r="A183" s="24" t="s">
        <v>310</v>
      </c>
      <c r="B183" s="24" t="s">
        <v>283</v>
      </c>
      <c r="C183" s="24" t="s">
        <v>311</v>
      </c>
      <c r="D183" s="24" t="s">
        <v>348</v>
      </c>
      <c r="E183" s="24" t="s">
        <v>351</v>
      </c>
      <c r="F183" s="24" t="s">
        <v>298</v>
      </c>
      <c r="G183" s="24" t="s">
        <v>288</v>
      </c>
      <c r="H183" s="2">
        <f>'Merluza sur Artesanal'!AA42</f>
        <v>11.538444679199999</v>
      </c>
      <c r="I183" s="2">
        <f>'Merluza sur Artesanal'!AB42</f>
        <v>-7.5429999999999993</v>
      </c>
      <c r="J183" s="2">
        <f>'Merluza sur Artesanal'!AC42</f>
        <v>3.995859271299997</v>
      </c>
      <c r="K183" s="2">
        <f>'Merluza sur Artesanal'!AD42</f>
        <v>3.8889999999999998</v>
      </c>
      <c r="L183" s="2">
        <f>'Merluza sur Artesanal'!AE42</f>
        <v>0.10685927129999717</v>
      </c>
      <c r="M183" s="251">
        <f>'Merluza sur Artesanal'!AF42</f>
        <v>0.97325749881445844</v>
      </c>
      <c r="N183" s="261">
        <f>'Merluza sur Artesanal'!AG41</f>
        <v>43166</v>
      </c>
      <c r="O183" s="278">
        <v>43465</v>
      </c>
    </row>
    <row r="184" spans="1:15" x14ac:dyDescent="0.25">
      <c r="A184" s="24" t="s">
        <v>310</v>
      </c>
      <c r="B184" s="24" t="s">
        <v>283</v>
      </c>
      <c r="C184" s="24" t="s">
        <v>311</v>
      </c>
      <c r="D184" s="24" t="s">
        <v>348</v>
      </c>
      <c r="E184" s="24" t="s">
        <v>351</v>
      </c>
      <c r="F184" s="24" t="s">
        <v>286</v>
      </c>
      <c r="G184" s="24" t="s">
        <v>288</v>
      </c>
      <c r="H184" s="2">
        <f>'Merluza sur Artesanal'!AH41</f>
        <v>31.609859271299996</v>
      </c>
      <c r="I184" s="2">
        <f>'Merluza sur Artesanal'!AI41</f>
        <v>-27.614000000000001</v>
      </c>
      <c r="J184" s="2">
        <f>'Merluza sur Artesanal'!AJ41</f>
        <v>3.9958592712999952</v>
      </c>
      <c r="K184" s="2">
        <f>'Merluza sur Artesanal'!AK41</f>
        <v>3.8889999999999998</v>
      </c>
      <c r="L184" s="2">
        <f>'Merluza sur Artesanal'!AL41</f>
        <v>0.1068592712999954</v>
      </c>
      <c r="M184" s="251">
        <f>'Merluza sur Artesanal'!AM41</f>
        <v>0.97325749881445889</v>
      </c>
      <c r="N184" s="261" t="s">
        <v>410</v>
      </c>
      <c r="O184" s="278">
        <v>43465</v>
      </c>
    </row>
    <row r="185" spans="1:15" x14ac:dyDescent="0.25">
      <c r="A185" s="24" t="s">
        <v>310</v>
      </c>
      <c r="B185" s="24" t="s">
        <v>283</v>
      </c>
      <c r="C185" s="24" t="s">
        <v>311</v>
      </c>
      <c r="D185" s="24" t="s">
        <v>348</v>
      </c>
      <c r="E185" s="24" t="s">
        <v>352</v>
      </c>
      <c r="F185" s="24" t="s">
        <v>286</v>
      </c>
      <c r="G185" s="24" t="s">
        <v>297</v>
      </c>
      <c r="H185" s="2">
        <f>'Merluza sur Artesanal'!AA43</f>
        <v>31.954848414599997</v>
      </c>
      <c r="I185" s="2">
        <f>'Merluza sur Artesanal'!AB43</f>
        <v>-31.954999999999998</v>
      </c>
      <c r="J185" s="2">
        <f>'Merluza sur Artesanal'!AC43</f>
        <v>-1.5158540000115295E-4</v>
      </c>
      <c r="K185" s="2">
        <f>'Merluza sur Artesanal'!AD43</f>
        <v>0</v>
      </c>
      <c r="L185" s="2">
        <f>'Merluza sur Artesanal'!AE43</f>
        <v>-1.5158540000115295E-4</v>
      </c>
      <c r="M185" s="251">
        <f>'Merluza sur Artesanal'!AF43</f>
        <v>0</v>
      </c>
      <c r="N185" s="261">
        <f>'Merluza sur Artesanal'!AG43</f>
        <v>43166</v>
      </c>
      <c r="O185" s="278">
        <v>43465</v>
      </c>
    </row>
    <row r="186" spans="1:15" x14ac:dyDescent="0.25">
      <c r="A186" s="24" t="s">
        <v>310</v>
      </c>
      <c r="B186" s="24" t="s">
        <v>283</v>
      </c>
      <c r="C186" s="24" t="s">
        <v>311</v>
      </c>
      <c r="D186" s="24" t="s">
        <v>348</v>
      </c>
      <c r="E186" s="24" t="s">
        <v>352</v>
      </c>
      <c r="F186" s="24" t="s">
        <v>298</v>
      </c>
      <c r="G186" s="24" t="s">
        <v>288</v>
      </c>
      <c r="H186" s="2">
        <f>'Merluza sur Artesanal'!AA44</f>
        <v>18.369868699199998</v>
      </c>
      <c r="I186" s="2">
        <f>'Merluza sur Artesanal'!AB44</f>
        <v>-18.37</v>
      </c>
      <c r="J186" s="2">
        <f>'Merluza sur Artesanal'!AC44</f>
        <v>-2.8288620000438414E-4</v>
      </c>
      <c r="K186" s="2">
        <f>'Merluza sur Artesanal'!AD44</f>
        <v>0</v>
      </c>
      <c r="L186" s="2">
        <f>'Merluza sur Artesanal'!AE44</f>
        <v>-2.8288620000438414E-4</v>
      </c>
      <c r="M186" s="251">
        <f>'Merluza sur Artesanal'!AF44</f>
        <v>0</v>
      </c>
      <c r="N186" s="261" t="str">
        <f>'Merluza sur Artesanal'!AG44</f>
        <v>-</v>
      </c>
      <c r="O186" s="278">
        <v>43465</v>
      </c>
    </row>
    <row r="187" spans="1:15" x14ac:dyDescent="0.25">
      <c r="A187" s="24" t="s">
        <v>310</v>
      </c>
      <c r="B187" s="24" t="s">
        <v>283</v>
      </c>
      <c r="C187" s="24" t="s">
        <v>311</v>
      </c>
      <c r="D187" s="24" t="s">
        <v>348</v>
      </c>
      <c r="E187" s="24" t="s">
        <v>352</v>
      </c>
      <c r="F187" s="24" t="s">
        <v>286</v>
      </c>
      <c r="G187" s="24" t="s">
        <v>288</v>
      </c>
      <c r="H187" s="2">
        <f>'Merluza sur Artesanal'!AH43</f>
        <v>50.324717113799991</v>
      </c>
      <c r="I187" s="2">
        <f>'Merluza sur Artesanal'!AI43</f>
        <v>-50.325000000000003</v>
      </c>
      <c r="J187" s="2">
        <f>'Merluza sur Artesanal'!AJ43</f>
        <v>-2.8288620001148956E-4</v>
      </c>
      <c r="K187" s="2">
        <f>'Merluza sur Artesanal'!AK43</f>
        <v>0</v>
      </c>
      <c r="L187" s="2">
        <f>'Merluza sur Artesanal'!AL43</f>
        <v>-2.8288620001148956E-4</v>
      </c>
      <c r="M187" s="251">
        <f>'Merluza sur Artesanal'!AM43</f>
        <v>0</v>
      </c>
      <c r="N187" s="261" t="s">
        <v>410</v>
      </c>
      <c r="O187" s="278">
        <v>43465</v>
      </c>
    </row>
    <row r="188" spans="1:15" x14ac:dyDescent="0.25">
      <c r="A188" s="24" t="s">
        <v>310</v>
      </c>
      <c r="B188" s="24" t="s">
        <v>283</v>
      </c>
      <c r="C188" s="24" t="s">
        <v>311</v>
      </c>
      <c r="D188" s="24" t="s">
        <v>348</v>
      </c>
      <c r="E188" s="24" t="s">
        <v>353</v>
      </c>
      <c r="F188" s="24" t="s">
        <v>286</v>
      </c>
      <c r="G188" s="24" t="s">
        <v>297</v>
      </c>
      <c r="H188" s="2">
        <f>'Merluza sur Artesanal'!AA45</f>
        <v>13.7885309436</v>
      </c>
      <c r="I188" s="2">
        <f>'Merluza sur Artesanal'!AB45</f>
        <v>-13.789</v>
      </c>
      <c r="J188" s="2">
        <f>'Merluza sur Artesanal'!AC45</f>
        <v>-4.6905640000005633E-4</v>
      </c>
      <c r="K188" s="2">
        <f>'Merluza sur Artesanal'!AD45</f>
        <v>0</v>
      </c>
      <c r="L188" s="2">
        <f>'Merluza sur Artesanal'!AE45</f>
        <v>-4.6905640000005633E-4</v>
      </c>
      <c r="M188" s="251">
        <f>'Merluza sur Artesanal'!AF45</f>
        <v>0</v>
      </c>
      <c r="N188" s="261">
        <f>'Merluza sur Artesanal'!AG45</f>
        <v>43154</v>
      </c>
      <c r="O188" s="278">
        <v>43465</v>
      </c>
    </row>
    <row r="189" spans="1:15" x14ac:dyDescent="0.25">
      <c r="A189" s="24" t="s">
        <v>310</v>
      </c>
      <c r="B189" s="24" t="s">
        <v>283</v>
      </c>
      <c r="C189" s="24" t="s">
        <v>311</v>
      </c>
      <c r="D189" s="24" t="s">
        <v>348</v>
      </c>
      <c r="E189" s="24" t="s">
        <v>353</v>
      </c>
      <c r="F189" s="24" t="s">
        <v>298</v>
      </c>
      <c r="G189" s="24" t="s">
        <v>288</v>
      </c>
      <c r="H189" s="2">
        <f>'Merluza sur Artesanal'!AA46</f>
        <v>7.9266063071999993</v>
      </c>
      <c r="I189" s="2">
        <f>'Merluza sur Artesanal'!AB46</f>
        <v>-7.9269999999999996</v>
      </c>
      <c r="J189" s="2">
        <f>'Merluza sur Artesanal'!AC46</f>
        <v>-8.6274920000040112E-4</v>
      </c>
      <c r="K189" s="2">
        <f>'Merluza sur Artesanal'!AD46</f>
        <v>0</v>
      </c>
      <c r="L189" s="2">
        <f>'Merluza sur Artesanal'!AE46</f>
        <v>-8.6274920000040112E-4</v>
      </c>
      <c r="M189" s="251">
        <f>'Merluza sur Artesanal'!AF46</f>
        <v>0</v>
      </c>
      <c r="N189" s="261">
        <f>'Merluza sur Artesanal'!AG46</f>
        <v>43166</v>
      </c>
      <c r="O189" s="278">
        <v>43465</v>
      </c>
    </row>
    <row r="190" spans="1:15" x14ac:dyDescent="0.25">
      <c r="A190" s="24" t="s">
        <v>310</v>
      </c>
      <c r="B190" s="24" t="s">
        <v>283</v>
      </c>
      <c r="C190" s="24" t="s">
        <v>311</v>
      </c>
      <c r="D190" s="24" t="s">
        <v>348</v>
      </c>
      <c r="E190" s="24" t="s">
        <v>353</v>
      </c>
      <c r="F190" s="24" t="s">
        <v>286</v>
      </c>
      <c r="G190" s="24" t="s">
        <v>288</v>
      </c>
      <c r="H190" s="2">
        <f>'Merluza sur Artesanal'!AH45</f>
        <v>21.715137250799998</v>
      </c>
      <c r="I190" s="2">
        <f>'Merluza sur Artesanal'!AI45</f>
        <v>-21.716000000000001</v>
      </c>
      <c r="J190" s="2">
        <f>'Merluza sur Artesanal'!AJ45</f>
        <v>-8.6274920000306565E-4</v>
      </c>
      <c r="K190" s="2">
        <f>'Merluza sur Artesanal'!AK45</f>
        <v>0</v>
      </c>
      <c r="L190" s="2">
        <f>'Merluza sur Artesanal'!AL45</f>
        <v>-8.6274920000306565E-4</v>
      </c>
      <c r="M190" s="251">
        <f>'Merluza sur Artesanal'!AM45</f>
        <v>0</v>
      </c>
      <c r="N190" s="261" t="s">
        <v>410</v>
      </c>
      <c r="O190" s="278">
        <v>43465</v>
      </c>
    </row>
    <row r="191" spans="1:15" x14ac:dyDescent="0.25">
      <c r="A191" s="24" t="s">
        <v>310</v>
      </c>
      <c r="B191" s="24" t="s">
        <v>283</v>
      </c>
      <c r="C191" s="24" t="s">
        <v>311</v>
      </c>
      <c r="D191" s="24" t="s">
        <v>348</v>
      </c>
      <c r="E191" s="24" t="s">
        <v>354</v>
      </c>
      <c r="F191" s="24" t="s">
        <v>286</v>
      </c>
      <c r="G191" s="24" t="s">
        <v>297</v>
      </c>
      <c r="H191" s="2">
        <f>'Merluza sur Artesanal'!AA47</f>
        <v>22.920500574999998</v>
      </c>
      <c r="I191" s="2">
        <f>'Merluza sur Artesanal'!AB47</f>
        <v>-22.920999999999999</v>
      </c>
      <c r="J191" s="2">
        <f>'Merluza sur Artesanal'!AC47</f>
        <v>-4.9942500000099699E-4</v>
      </c>
      <c r="K191" s="2">
        <f>'Merluza sur Artesanal'!AD47</f>
        <v>0</v>
      </c>
      <c r="L191" s="2">
        <f>'Merluza sur Artesanal'!AE47</f>
        <v>-4.9942500000099699E-4</v>
      </c>
      <c r="M191" s="251">
        <f>'Merluza sur Artesanal'!AF47</f>
        <v>0</v>
      </c>
      <c r="N191" s="261">
        <f>'Merluza sur Artesanal'!AG47</f>
        <v>43166</v>
      </c>
      <c r="O191" s="278">
        <v>43465</v>
      </c>
    </row>
    <row r="192" spans="1:15" x14ac:dyDescent="0.25">
      <c r="A192" s="24" t="s">
        <v>310</v>
      </c>
      <c r="B192" s="24" t="s">
        <v>283</v>
      </c>
      <c r="C192" s="24" t="s">
        <v>311</v>
      </c>
      <c r="D192" s="24" t="s">
        <v>348</v>
      </c>
      <c r="E192" s="24" t="s">
        <v>354</v>
      </c>
      <c r="F192" s="24" t="s">
        <v>298</v>
      </c>
      <c r="G192" s="24" t="s">
        <v>288</v>
      </c>
      <c r="H192" s="2">
        <f>'Merluza sur Artesanal'!AA48</f>
        <v>13.176297399999999</v>
      </c>
      <c r="I192" s="2">
        <f>'Merluza sur Artesanal'!AB48</f>
        <v>-13.176</v>
      </c>
      <c r="J192" s="2">
        <f>'Merluza sur Artesanal'!AC48</f>
        <v>-2.0202500000188195E-4</v>
      </c>
      <c r="K192" s="2">
        <f>'Merluza sur Artesanal'!AD48</f>
        <v>0</v>
      </c>
      <c r="L192" s="2">
        <f>'Merluza sur Artesanal'!AE48</f>
        <v>-2.0202500000188195E-4</v>
      </c>
      <c r="M192" s="251">
        <f>'Merluza sur Artesanal'!AF48</f>
        <v>0</v>
      </c>
      <c r="N192" s="261">
        <f>'Merluza sur Artesanal'!AG47</f>
        <v>43166</v>
      </c>
      <c r="O192" s="278">
        <v>43465</v>
      </c>
    </row>
    <row r="193" spans="1:15" x14ac:dyDescent="0.25">
      <c r="A193" s="24" t="s">
        <v>310</v>
      </c>
      <c r="B193" s="24" t="s">
        <v>283</v>
      </c>
      <c r="C193" s="24" t="s">
        <v>311</v>
      </c>
      <c r="D193" s="24" t="s">
        <v>348</v>
      </c>
      <c r="E193" s="24" t="s">
        <v>354</v>
      </c>
      <c r="F193" s="24" t="s">
        <v>286</v>
      </c>
      <c r="G193" s="24" t="s">
        <v>288</v>
      </c>
      <c r="H193" s="2">
        <f>'Merluza sur Artesanal'!AH47</f>
        <v>36.096797975000001</v>
      </c>
      <c r="I193" s="2">
        <f>'Merluza sur Artesanal'!AI47</f>
        <v>-36.097000000000001</v>
      </c>
      <c r="J193" s="2">
        <f>'Merluza sur Artesanal'!AJ47</f>
        <v>-2.0202500000010559E-4</v>
      </c>
      <c r="K193" s="2">
        <f>'Merluza sur Artesanal'!AK47</f>
        <v>0</v>
      </c>
      <c r="L193" s="2">
        <f>'Merluza sur Artesanal'!AL47</f>
        <v>-2.0202500000010559E-4</v>
      </c>
      <c r="M193" s="251">
        <f>'Merluza sur Artesanal'!AM47</f>
        <v>0</v>
      </c>
      <c r="N193" s="261" t="s">
        <v>410</v>
      </c>
      <c r="O193" s="278">
        <v>43465</v>
      </c>
    </row>
    <row r="194" spans="1:15" x14ac:dyDescent="0.25">
      <c r="A194" s="24" t="s">
        <v>310</v>
      </c>
      <c r="B194" s="24" t="s">
        <v>283</v>
      </c>
      <c r="C194" s="24" t="s">
        <v>311</v>
      </c>
      <c r="D194" s="24" t="s">
        <v>348</v>
      </c>
      <c r="E194" s="24" t="s">
        <v>355</v>
      </c>
      <c r="F194" s="24" t="s">
        <v>286</v>
      </c>
      <c r="G194" s="24" t="s">
        <v>297</v>
      </c>
      <c r="H194" s="2">
        <f>'Merluza sur Artesanal'!AA49</f>
        <v>26.697115389899999</v>
      </c>
      <c r="I194" s="2">
        <f>'Merluza sur Artesanal'!AB49</f>
        <v>-26.696999999999999</v>
      </c>
      <c r="J194" s="2">
        <f>'Merluza sur Artesanal'!AC49</f>
        <v>1.1538989999948512E-4</v>
      </c>
      <c r="K194" s="2">
        <f>'Merluza sur Artesanal'!AD49</f>
        <v>0</v>
      </c>
      <c r="L194" s="2">
        <f>'Merluza sur Artesanal'!AE49</f>
        <v>1.1538989999948512E-4</v>
      </c>
      <c r="M194" s="251">
        <f>'Merluza sur Artesanal'!AF49</f>
        <v>0</v>
      </c>
      <c r="N194" s="261">
        <f>'Merluza sur Artesanal'!AG49</f>
        <v>43166</v>
      </c>
      <c r="O194" s="278">
        <v>43465</v>
      </c>
    </row>
    <row r="195" spans="1:15" x14ac:dyDescent="0.25">
      <c r="A195" s="24" t="s">
        <v>310</v>
      </c>
      <c r="B195" s="24" t="s">
        <v>283</v>
      </c>
      <c r="C195" s="24" t="s">
        <v>311</v>
      </c>
      <c r="D195" s="24" t="s">
        <v>348</v>
      </c>
      <c r="E195" s="24" t="s">
        <v>355</v>
      </c>
      <c r="F195" s="24" t="s">
        <v>298</v>
      </c>
      <c r="G195" s="24" t="s">
        <v>288</v>
      </c>
      <c r="H195" s="2">
        <f>'Merluza sur Artesanal'!AA50</f>
        <v>15.347358184799999</v>
      </c>
      <c r="I195" s="2">
        <f>'Merluza sur Artesanal'!AB50</f>
        <v>-13.701000000000001</v>
      </c>
      <c r="J195" s="2">
        <f>'Merluza sur Artesanal'!AC50</f>
        <v>1.6464735746999981</v>
      </c>
      <c r="K195" s="2">
        <f>'Merluza sur Artesanal'!AD50</f>
        <v>1.647</v>
      </c>
      <c r="L195" s="2">
        <f>'Merluza sur Artesanal'!AE50</f>
        <v>-5.2642530000190924E-4</v>
      </c>
      <c r="M195" s="251">
        <f>'Merluza sur Artesanal'!AF50</f>
        <v>0</v>
      </c>
      <c r="N195" s="261">
        <f>'Merluza sur Artesanal'!AG50</f>
        <v>43383</v>
      </c>
      <c r="O195" s="278">
        <v>43465</v>
      </c>
    </row>
    <row r="196" spans="1:15" x14ac:dyDescent="0.25">
      <c r="A196" s="24" t="s">
        <v>310</v>
      </c>
      <c r="B196" s="24" t="s">
        <v>283</v>
      </c>
      <c r="C196" s="24" t="s">
        <v>311</v>
      </c>
      <c r="D196" s="24" t="s">
        <v>348</v>
      </c>
      <c r="E196" s="24" t="s">
        <v>355</v>
      </c>
      <c r="F196" s="24" t="s">
        <v>286</v>
      </c>
      <c r="G196" s="24" t="s">
        <v>288</v>
      </c>
      <c r="H196" s="2">
        <f>'Merluza sur Artesanal'!AH49</f>
        <v>42.0444735747</v>
      </c>
      <c r="I196" s="2">
        <f>'Merluza sur Artesanal'!AI49</f>
        <v>-40.397999999999996</v>
      </c>
      <c r="J196" s="2">
        <f>'Merluza sur Artesanal'!AJ49</f>
        <v>1.6464735747000034</v>
      </c>
      <c r="K196" s="2">
        <f>'Merluza sur Artesanal'!AK49</f>
        <v>1.647</v>
      </c>
      <c r="L196" s="2">
        <f>'Merluza sur Artesanal'!AL49</f>
        <v>-5.2642529999658016E-4</v>
      </c>
      <c r="M196" s="251">
        <f>'Merluza sur Artesanal'!AM49</f>
        <v>1.000319728969894</v>
      </c>
      <c r="N196" s="261" t="s">
        <v>410</v>
      </c>
      <c r="O196" s="278">
        <v>43465</v>
      </c>
    </row>
    <row r="197" spans="1:15" x14ac:dyDescent="0.25">
      <c r="A197" s="24" t="s">
        <v>310</v>
      </c>
      <c r="B197" s="24" t="s">
        <v>283</v>
      </c>
      <c r="C197" s="24" t="s">
        <v>311</v>
      </c>
      <c r="D197" s="24" t="s">
        <v>348</v>
      </c>
      <c r="E197" s="24" t="s">
        <v>356</v>
      </c>
      <c r="F197" s="24" t="s">
        <v>286</v>
      </c>
      <c r="G197" s="24" t="s">
        <v>297</v>
      </c>
      <c r="H197" s="2">
        <f>'Merluza sur Artesanal'!AA51</f>
        <v>99.024000000000001</v>
      </c>
      <c r="I197" s="2">
        <f>'Merluza sur Artesanal'!AB51</f>
        <v>-56.701000000000001</v>
      </c>
      <c r="J197" s="2">
        <f>'Merluza sur Artesanal'!AC51</f>
        <v>42.323</v>
      </c>
      <c r="K197" s="2">
        <f>'Merluza sur Artesanal'!AD51</f>
        <v>4.9790000000000001</v>
      </c>
      <c r="L197" s="2">
        <f>'Merluza sur Artesanal'!AE51</f>
        <v>37.344000000000001</v>
      </c>
      <c r="M197" s="251">
        <f>'Merluza sur Artesanal'!AF51</f>
        <v>0.11764288920917705</v>
      </c>
      <c r="N197" s="261" t="str">
        <f>'Merluza sur Artesanal'!AG51</f>
        <v>-</v>
      </c>
      <c r="O197" s="278">
        <v>43465</v>
      </c>
    </row>
    <row r="198" spans="1:15" x14ac:dyDescent="0.25">
      <c r="A198" s="24" t="s">
        <v>310</v>
      </c>
      <c r="B198" s="24" t="s">
        <v>283</v>
      </c>
      <c r="C198" s="24" t="s">
        <v>311</v>
      </c>
      <c r="D198" s="24" t="s">
        <v>348</v>
      </c>
      <c r="E198" s="24" t="s">
        <v>356</v>
      </c>
      <c r="F198" s="24" t="s">
        <v>298</v>
      </c>
      <c r="G198" s="24" t="s">
        <v>288</v>
      </c>
      <c r="H198" s="2">
        <f>'Merluza sur Artesanal'!AA52</f>
        <v>1E-3</v>
      </c>
      <c r="I198" s="2">
        <f>'Merluza sur Artesanal'!AB52</f>
        <v>0</v>
      </c>
      <c r="J198" s="2">
        <f>'Merluza sur Artesanal'!AC52</f>
        <v>37.344999999999999</v>
      </c>
      <c r="K198" s="2">
        <f>'Merluza sur Artesanal'!AD52</f>
        <v>31.513999999999999</v>
      </c>
      <c r="L198" s="2">
        <f>'Merluza sur Artesanal'!AE52</f>
        <v>5.8309999999999995</v>
      </c>
      <c r="M198" s="251">
        <f>'Merluza sur Artesanal'!AF52</f>
        <v>0.84386129334582949</v>
      </c>
      <c r="N198" s="261" t="str">
        <f>'Merluza sur Artesanal'!AG52</f>
        <v>-</v>
      </c>
      <c r="O198" s="278">
        <v>43465</v>
      </c>
    </row>
    <row r="199" spans="1:15" x14ac:dyDescent="0.25">
      <c r="A199" s="24" t="s">
        <v>310</v>
      </c>
      <c r="B199" s="24" t="s">
        <v>283</v>
      </c>
      <c r="C199" s="24" t="s">
        <v>311</v>
      </c>
      <c r="D199" s="24" t="s">
        <v>348</v>
      </c>
      <c r="E199" s="24" t="s">
        <v>356</v>
      </c>
      <c r="F199" s="24" t="s">
        <v>286</v>
      </c>
      <c r="G199" s="24" t="s">
        <v>288</v>
      </c>
      <c r="H199" s="2">
        <f>'Merluza sur Artesanal'!AH51</f>
        <v>99.025000000000006</v>
      </c>
      <c r="I199" s="2">
        <f>'Merluza sur Artesanal'!AI51</f>
        <v>-56.701000000000001</v>
      </c>
      <c r="J199" s="2">
        <f>'Merluza sur Artesanal'!AJ51</f>
        <v>42.324000000000005</v>
      </c>
      <c r="K199" s="2">
        <f>'Merluza sur Artesanal'!AK51</f>
        <v>36.493000000000002</v>
      </c>
      <c r="L199" s="2">
        <f>'Merluza sur Artesanal'!AL51</f>
        <v>5.8310000000000031</v>
      </c>
      <c r="M199" s="251">
        <f>'Merluza sur Artesanal'!AM51</f>
        <v>0.86222946791418575</v>
      </c>
      <c r="N199" s="261" t="s">
        <v>410</v>
      </c>
      <c r="O199" s="278">
        <v>43465</v>
      </c>
    </row>
    <row r="200" spans="1:15" x14ac:dyDescent="0.25">
      <c r="A200" s="24" t="s">
        <v>310</v>
      </c>
      <c r="B200" s="24" t="s">
        <v>283</v>
      </c>
      <c r="C200" s="24" t="s">
        <v>311</v>
      </c>
      <c r="D200" s="24" t="s">
        <v>348</v>
      </c>
      <c r="E200" s="24" t="s">
        <v>357</v>
      </c>
      <c r="F200" s="24" t="s">
        <v>286</v>
      </c>
      <c r="G200" s="24" t="s">
        <v>297</v>
      </c>
      <c r="H200" s="2">
        <f>'Merluza sur Artesanal'!AA53</f>
        <v>41.9108351167</v>
      </c>
      <c r="I200" s="2">
        <f>'Merluza sur Artesanal'!AB53</f>
        <v>-41.911000000000001</v>
      </c>
      <c r="J200" s="2">
        <f>'Merluza sur Artesanal'!AC53</f>
        <v>-1.6488330000186124E-4</v>
      </c>
      <c r="K200" s="2">
        <f>'Merluza sur Artesanal'!AD53</f>
        <v>0</v>
      </c>
      <c r="L200" s="2">
        <f>'Merluza sur Artesanal'!AE53</f>
        <v>-1.6488330000186124E-4</v>
      </c>
      <c r="M200" s="251">
        <f>'Merluza sur Artesanal'!AF53</f>
        <v>0</v>
      </c>
      <c r="N200" s="261">
        <f>'Merluza sur Artesanal'!AG53</f>
        <v>43166</v>
      </c>
      <c r="O200" s="278">
        <v>43465</v>
      </c>
    </row>
    <row r="201" spans="1:15" x14ac:dyDescent="0.25">
      <c r="A201" s="24" t="s">
        <v>310</v>
      </c>
      <c r="B201" s="24" t="s">
        <v>283</v>
      </c>
      <c r="C201" s="24" t="s">
        <v>311</v>
      </c>
      <c r="D201" s="24" t="s">
        <v>348</v>
      </c>
      <c r="E201" s="24" t="s">
        <v>358</v>
      </c>
      <c r="F201" s="24" t="s">
        <v>298</v>
      </c>
      <c r="G201" s="24" t="s">
        <v>288</v>
      </c>
      <c r="H201" s="2">
        <f>'Merluza sur Artesanal'!AA54</f>
        <v>24.0932620984</v>
      </c>
      <c r="I201" s="2">
        <f>'Merluza sur Artesanal'!AB54</f>
        <v>-24.093</v>
      </c>
      <c r="J201" s="2">
        <f>'Merluza sur Artesanal'!AC54</f>
        <v>9.7215099998493315E-5</v>
      </c>
      <c r="K201" s="2">
        <f>'Merluza sur Artesanal'!AD54</f>
        <v>0</v>
      </c>
      <c r="L201" s="2">
        <f>'Merluza sur Artesanal'!AE54</f>
        <v>9.7215099998493315E-5</v>
      </c>
      <c r="M201" s="251">
        <f>'Merluza sur Artesanal'!AF54</f>
        <v>0</v>
      </c>
      <c r="N201" s="261">
        <f>'Merluza sur Artesanal'!AG53</f>
        <v>43166</v>
      </c>
      <c r="O201" s="278">
        <v>43465</v>
      </c>
    </row>
    <row r="202" spans="1:15" x14ac:dyDescent="0.25">
      <c r="A202" s="24" t="s">
        <v>310</v>
      </c>
      <c r="B202" s="24" t="s">
        <v>283</v>
      </c>
      <c r="C202" s="24" t="s">
        <v>311</v>
      </c>
      <c r="D202" s="24" t="s">
        <v>348</v>
      </c>
      <c r="E202" s="24" t="s">
        <v>359</v>
      </c>
      <c r="F202" s="24" t="s">
        <v>286</v>
      </c>
      <c r="G202" s="24" t="s">
        <v>288</v>
      </c>
      <c r="H202" s="2">
        <f>'Merluza sur Artesanal'!AH53</f>
        <v>66.004097215100003</v>
      </c>
      <c r="I202" s="2">
        <f>'Merluza sur Artesanal'!AI53</f>
        <v>-66.004000000000005</v>
      </c>
      <c r="J202" s="2">
        <f>'Merluza sur Artesanal'!AJ53</f>
        <v>9.7215099998493315E-5</v>
      </c>
      <c r="K202" s="2">
        <f>'Merluza sur Artesanal'!AK53</f>
        <v>0</v>
      </c>
      <c r="L202" s="2">
        <f>'Merluza sur Artesanal'!AL53</f>
        <v>9.7215099998493315E-5</v>
      </c>
      <c r="M202" s="251">
        <f>'Merluza sur Artesanal'!AM53</f>
        <v>0</v>
      </c>
      <c r="N202" s="261" t="s">
        <v>410</v>
      </c>
      <c r="O202" s="278">
        <v>43465</v>
      </c>
    </row>
    <row r="203" spans="1:15" x14ac:dyDescent="0.25">
      <c r="A203" s="24" t="s">
        <v>310</v>
      </c>
      <c r="B203" s="24" t="s">
        <v>283</v>
      </c>
      <c r="C203" s="24" t="s">
        <v>311</v>
      </c>
      <c r="D203" s="24" t="s">
        <v>348</v>
      </c>
      <c r="E203" s="24" t="s">
        <v>360</v>
      </c>
      <c r="F203" s="24" t="s">
        <v>286</v>
      </c>
      <c r="G203" s="24" t="s">
        <v>297</v>
      </c>
      <c r="H203" s="2">
        <f>'Merluza sur Artesanal'!AA55</f>
        <v>78.888045204299999</v>
      </c>
      <c r="I203" s="2">
        <f>'Merluza sur Artesanal'!AB55</f>
        <v>-78.888000000000005</v>
      </c>
      <c r="J203" s="2">
        <f>'Merluza sur Artesanal'!AC55</f>
        <v>4.5204299993883978E-5</v>
      </c>
      <c r="K203" s="2">
        <f>'Merluza sur Artesanal'!AD55</f>
        <v>0</v>
      </c>
      <c r="L203" s="2">
        <f>'Merluza sur Artesanal'!AE55</f>
        <v>4.5204299993883978E-5</v>
      </c>
      <c r="M203" s="251">
        <f>'Merluza sur Artesanal'!AF55</f>
        <v>0</v>
      </c>
      <c r="N203" s="261">
        <f>'Merluza sur Artesanal'!AG55</f>
        <v>43166</v>
      </c>
      <c r="O203" s="278">
        <v>43465</v>
      </c>
    </row>
    <row r="204" spans="1:15" x14ac:dyDescent="0.25">
      <c r="A204" s="24" t="s">
        <v>310</v>
      </c>
      <c r="B204" s="24" t="s">
        <v>283</v>
      </c>
      <c r="C204" s="24" t="s">
        <v>311</v>
      </c>
      <c r="D204" s="24" t="s">
        <v>348</v>
      </c>
      <c r="E204" s="24" t="s">
        <v>360</v>
      </c>
      <c r="F204" s="24" t="s">
        <v>298</v>
      </c>
      <c r="G204" s="24" t="s">
        <v>288</v>
      </c>
      <c r="H204" s="2">
        <f>'Merluza sur Artesanal'!AA56</f>
        <v>45.350333493599997</v>
      </c>
      <c r="I204" s="2">
        <f>'Merluza sur Artesanal'!AB56</f>
        <v>-45.346000000000004</v>
      </c>
      <c r="J204" s="2">
        <f>'Merluza sur Artesanal'!AC56</f>
        <v>4.3786978999875714E-3</v>
      </c>
      <c r="K204" s="2">
        <f>'Merluza sur Artesanal'!AD56</f>
        <v>0</v>
      </c>
      <c r="L204" s="2">
        <f>'Merluza sur Artesanal'!AE56</f>
        <v>4.3786978999875714E-3</v>
      </c>
      <c r="M204" s="251">
        <f>'Merluza sur Artesanal'!AF56</f>
        <v>0</v>
      </c>
      <c r="N204" s="261">
        <f>'Merluza sur Artesanal'!AG55</f>
        <v>43166</v>
      </c>
      <c r="O204" s="278">
        <v>43465</v>
      </c>
    </row>
    <row r="205" spans="1:15" x14ac:dyDescent="0.25">
      <c r="A205" s="24" t="s">
        <v>310</v>
      </c>
      <c r="B205" s="24" t="s">
        <v>283</v>
      </c>
      <c r="C205" s="24" t="s">
        <v>311</v>
      </c>
      <c r="D205" s="24" t="s">
        <v>348</v>
      </c>
      <c r="E205" s="24" t="s">
        <v>360</v>
      </c>
      <c r="F205" s="24" t="s">
        <v>286</v>
      </c>
      <c r="G205" s="24" t="s">
        <v>288</v>
      </c>
      <c r="H205" s="2">
        <f>'Merluza sur Artesanal'!AH55</f>
        <v>124.2383786979</v>
      </c>
      <c r="I205" s="2">
        <f>'Merluza sur Artesanal'!AI55</f>
        <v>-124.23400000000001</v>
      </c>
      <c r="J205" s="2">
        <f>'Merluza sur Artesanal'!AJ55</f>
        <v>4.3786978999946768E-3</v>
      </c>
      <c r="K205" s="2">
        <f>'Merluza sur Artesanal'!AK55</f>
        <v>0</v>
      </c>
      <c r="L205" s="2">
        <f>'Merluza sur Artesanal'!AL55</f>
        <v>4.3786978999946768E-3</v>
      </c>
      <c r="M205" s="251">
        <f>'Merluza sur Artesanal'!AM55</f>
        <v>0</v>
      </c>
      <c r="N205" s="261" t="s">
        <v>410</v>
      </c>
      <c r="O205" s="278">
        <v>43465</v>
      </c>
    </row>
    <row r="206" spans="1:15" x14ac:dyDescent="0.25">
      <c r="A206" s="24" t="s">
        <v>310</v>
      </c>
      <c r="B206" s="24" t="s">
        <v>283</v>
      </c>
      <c r="C206" s="24" t="s">
        <v>311</v>
      </c>
      <c r="D206" s="24" t="s">
        <v>348</v>
      </c>
      <c r="E206" s="24" t="s">
        <v>361</v>
      </c>
      <c r="F206" s="24" t="s">
        <v>286</v>
      </c>
      <c r="G206" s="24" t="s">
        <v>297</v>
      </c>
      <c r="H206" s="2">
        <f>'Merluza sur Artesanal'!AA57</f>
        <v>45.642936259800003</v>
      </c>
      <c r="I206" s="2">
        <f>'Merluza sur Artesanal'!AB57</f>
        <v>-45.643000000000001</v>
      </c>
      <c r="J206" s="2">
        <f>'Merluza sur Artesanal'!AC57</f>
        <v>-6.3740199998107983E-5</v>
      </c>
      <c r="K206" s="2">
        <f>'Merluza sur Artesanal'!AD57</f>
        <v>0</v>
      </c>
      <c r="L206" s="2">
        <f>'Merluza sur Artesanal'!AE57</f>
        <v>-6.3740199998107983E-5</v>
      </c>
      <c r="M206" s="251">
        <f>'Merluza sur Artesanal'!AF57</f>
        <v>0</v>
      </c>
      <c r="N206" s="261">
        <f>'Merluza sur Artesanal'!AG57</f>
        <v>43166</v>
      </c>
      <c r="O206" s="278">
        <v>43465</v>
      </c>
    </row>
    <row r="207" spans="1:15" x14ac:dyDescent="0.25">
      <c r="A207" s="24" t="s">
        <v>310</v>
      </c>
      <c r="B207" s="24" t="s">
        <v>283</v>
      </c>
      <c r="C207" s="24" t="s">
        <v>311</v>
      </c>
      <c r="D207" s="24" t="s">
        <v>348</v>
      </c>
      <c r="E207" s="24" t="s">
        <v>361</v>
      </c>
      <c r="F207" s="24" t="s">
        <v>298</v>
      </c>
      <c r="G207" s="24" t="s">
        <v>288</v>
      </c>
      <c r="H207" s="2">
        <f>'Merluza sur Artesanal'!AA58</f>
        <v>26.238733329599999</v>
      </c>
      <c r="I207" s="2">
        <f>'Merluza sur Artesanal'!AB58</f>
        <v>-26.239000000000001</v>
      </c>
      <c r="J207" s="2">
        <f>'Merluza sur Artesanal'!AC58</f>
        <v>-3.3041060000016387E-4</v>
      </c>
      <c r="K207" s="2">
        <f>'Merluza sur Artesanal'!AD58</f>
        <v>0</v>
      </c>
      <c r="L207" s="2">
        <f>'Merluza sur Artesanal'!AE58</f>
        <v>-3.3041060000016387E-4</v>
      </c>
      <c r="M207" s="251">
        <f>'Merluza sur Artesanal'!AF58</f>
        <v>0</v>
      </c>
      <c r="N207" s="261">
        <f>'Merluza sur Artesanal'!AG57</f>
        <v>43166</v>
      </c>
      <c r="O207" s="278">
        <v>43465</v>
      </c>
    </row>
    <row r="208" spans="1:15" x14ac:dyDescent="0.25">
      <c r="A208" s="24" t="s">
        <v>310</v>
      </c>
      <c r="B208" s="24" t="s">
        <v>283</v>
      </c>
      <c r="C208" s="24" t="s">
        <v>311</v>
      </c>
      <c r="D208" s="24" t="s">
        <v>348</v>
      </c>
      <c r="E208" s="24" t="s">
        <v>361</v>
      </c>
      <c r="F208" s="24" t="s">
        <v>286</v>
      </c>
      <c r="G208" s="24" t="s">
        <v>288</v>
      </c>
      <c r="H208" s="2">
        <f>'Merluza sur Artesanal'!AH57</f>
        <v>71.881669589400005</v>
      </c>
      <c r="I208" s="2">
        <f>'Merluza sur Artesanal'!AI57</f>
        <v>-71.882000000000005</v>
      </c>
      <c r="J208" s="2">
        <f>'Merluza sur Artesanal'!AJ57</f>
        <v>-3.3041060000016387E-4</v>
      </c>
      <c r="K208" s="2">
        <f>'Merluza sur Artesanal'!AK57</f>
        <v>0</v>
      </c>
      <c r="L208" s="2">
        <f>'Merluza sur Artesanal'!AL57</f>
        <v>-3.3041060000016387E-4</v>
      </c>
      <c r="M208" s="251">
        <f>'Merluza sur Artesanal'!AM57</f>
        <v>0</v>
      </c>
      <c r="N208" s="261" t="s">
        <v>410</v>
      </c>
      <c r="O208" s="278">
        <v>43465</v>
      </c>
    </row>
    <row r="209" spans="1:15" x14ac:dyDescent="0.25">
      <c r="A209" s="24" t="s">
        <v>310</v>
      </c>
      <c r="B209" s="24" t="s">
        <v>283</v>
      </c>
      <c r="C209" s="24" t="s">
        <v>311</v>
      </c>
      <c r="D209" s="24" t="s">
        <v>348</v>
      </c>
      <c r="E209" s="24" t="s">
        <v>362</v>
      </c>
      <c r="F209" s="24" t="s">
        <v>286</v>
      </c>
      <c r="G209" s="24" t="s">
        <v>297</v>
      </c>
      <c r="H209" s="2">
        <f>'Merluza sur Artesanal'!AA59</f>
        <v>23.6943506494</v>
      </c>
      <c r="I209" s="2">
        <f>'Merluza sur Artesanal'!AB59</f>
        <v>-23.693999999999999</v>
      </c>
      <c r="J209" s="2">
        <f>'Merluza sur Artesanal'!AC59</f>
        <v>3.5064940000140155E-4</v>
      </c>
      <c r="K209" s="2">
        <f>'Merluza sur Artesanal'!AD59</f>
        <v>0</v>
      </c>
      <c r="L209" s="2">
        <f>'Merluza sur Artesanal'!AE59</f>
        <v>3.5064940000140155E-4</v>
      </c>
      <c r="M209" s="251">
        <f>'Merluza sur Artesanal'!AF59</f>
        <v>0</v>
      </c>
      <c r="N209" s="261">
        <f>'Merluza sur Artesanal'!AG59</f>
        <v>43166</v>
      </c>
      <c r="O209" s="278">
        <v>43465</v>
      </c>
    </row>
    <row r="210" spans="1:15" x14ac:dyDescent="0.25">
      <c r="A210" s="24" t="s">
        <v>310</v>
      </c>
      <c r="B210" s="24" t="s">
        <v>283</v>
      </c>
      <c r="C210" s="24" t="s">
        <v>311</v>
      </c>
      <c r="D210" s="24" t="s">
        <v>348</v>
      </c>
      <c r="E210" s="24" t="s">
        <v>362</v>
      </c>
      <c r="F210" s="24" t="s">
        <v>298</v>
      </c>
      <c r="G210" s="24" t="s">
        <v>288</v>
      </c>
      <c r="H210" s="2">
        <f>'Merluza sur Artesanal'!AA60</f>
        <v>13.621160228800001</v>
      </c>
      <c r="I210" s="2">
        <f>'Merluza sur Artesanal'!AB60</f>
        <v>-13.621</v>
      </c>
      <c r="J210" s="2">
        <f>'Merluza sur Artesanal'!AC60</f>
        <v>5.1087820000184081E-4</v>
      </c>
      <c r="K210" s="2">
        <f>'Merluza sur Artesanal'!AD60</f>
        <v>0</v>
      </c>
      <c r="L210" s="2">
        <f>'Merluza sur Artesanal'!AE60</f>
        <v>5.1087820000184081E-4</v>
      </c>
      <c r="M210" s="251">
        <f>'Merluza sur Artesanal'!AF60</f>
        <v>0</v>
      </c>
      <c r="N210" s="261">
        <f>'Merluza sur Artesanal'!AG59</f>
        <v>43166</v>
      </c>
      <c r="O210" s="278">
        <v>43465</v>
      </c>
    </row>
    <row r="211" spans="1:15" x14ac:dyDescent="0.25">
      <c r="A211" s="24" t="s">
        <v>310</v>
      </c>
      <c r="B211" s="24" t="s">
        <v>283</v>
      </c>
      <c r="C211" s="24" t="s">
        <v>311</v>
      </c>
      <c r="D211" s="24" t="s">
        <v>348</v>
      </c>
      <c r="E211" s="24" t="s">
        <v>362</v>
      </c>
      <c r="F211" s="24" t="s">
        <v>286</v>
      </c>
      <c r="G211" s="24" t="s">
        <v>288</v>
      </c>
      <c r="H211" s="2">
        <f>'Merluza sur Artesanal'!AH59</f>
        <v>37.315510878200001</v>
      </c>
      <c r="I211" s="2">
        <f>'Merluza sur Artesanal'!AI59</f>
        <v>-37.314999999999998</v>
      </c>
      <c r="J211" s="2">
        <f>'Merluza sur Artesanal'!AJ59</f>
        <v>5.1087820000361717E-4</v>
      </c>
      <c r="K211" s="2">
        <f>'Merluza sur Artesanal'!AK59</f>
        <v>0</v>
      </c>
      <c r="L211" s="2">
        <f>'Merluza sur Artesanal'!AL59</f>
        <v>5.1087820000361717E-4</v>
      </c>
      <c r="M211" s="251">
        <f>'Merluza sur Artesanal'!AM59</f>
        <v>0</v>
      </c>
      <c r="N211" s="261" t="s">
        <v>410</v>
      </c>
      <c r="O211" s="278">
        <v>43465</v>
      </c>
    </row>
    <row r="212" spans="1:15" x14ac:dyDescent="0.25">
      <c r="A212" s="24" t="s">
        <v>310</v>
      </c>
      <c r="B212" s="24" t="s">
        <v>283</v>
      </c>
      <c r="C212" s="24" t="s">
        <v>311</v>
      </c>
      <c r="D212" s="24" t="s">
        <v>348</v>
      </c>
      <c r="E212" s="24" t="s">
        <v>363</v>
      </c>
      <c r="F212" s="24" t="s">
        <v>286</v>
      </c>
      <c r="G212" s="24" t="s">
        <v>297</v>
      </c>
      <c r="H212" s="2">
        <f>'Merluza sur Artesanal'!AA61</f>
        <v>17.224703279500002</v>
      </c>
      <c r="I212" s="2">
        <f>'Merluza sur Artesanal'!AB61</f>
        <v>-17.225000000000001</v>
      </c>
      <c r="J212" s="2">
        <f>'Merluza sur Artesanal'!AC61</f>
        <v>-2.9672049999973638E-4</v>
      </c>
      <c r="K212" s="2">
        <f>'Merluza sur Artesanal'!AD61</f>
        <v>0</v>
      </c>
      <c r="L212" s="2">
        <f>'Merluza sur Artesanal'!AE61</f>
        <v>-2.9672049999973638E-4</v>
      </c>
      <c r="M212" s="251">
        <f>'Merluza sur Artesanal'!AF61</f>
        <v>0</v>
      </c>
      <c r="N212" s="261">
        <f>'Merluza sur Artesanal'!AG61</f>
        <v>43154</v>
      </c>
      <c r="O212" s="278">
        <v>43465</v>
      </c>
    </row>
    <row r="213" spans="1:15" x14ac:dyDescent="0.25">
      <c r="A213" s="24" t="s">
        <v>310</v>
      </c>
      <c r="B213" s="24" t="s">
        <v>283</v>
      </c>
      <c r="C213" s="24" t="s">
        <v>311</v>
      </c>
      <c r="D213" s="24" t="s">
        <v>348</v>
      </c>
      <c r="E213" s="24" t="s">
        <v>363</v>
      </c>
      <c r="F213" s="24" t="s">
        <v>298</v>
      </c>
      <c r="G213" s="24" t="s">
        <v>288</v>
      </c>
      <c r="H213" s="2">
        <f>'Merluza sur Artesanal'!AA62</f>
        <v>9.9019570839999993</v>
      </c>
      <c r="I213" s="2">
        <f>'Merluza sur Artesanal'!AB62</f>
        <v>-9.9019999999999992</v>
      </c>
      <c r="J213" s="2">
        <f>'Merluza sur Artesanal'!AC62</f>
        <v>-3.3963649999968482E-4</v>
      </c>
      <c r="K213" s="2">
        <f>'Merluza sur Artesanal'!AD62</f>
        <v>0</v>
      </c>
      <c r="L213" s="2">
        <f>'Merluza sur Artesanal'!AE62</f>
        <v>-3.3963649999968482E-4</v>
      </c>
      <c r="M213" s="251">
        <f>'Merluza sur Artesanal'!AF62</f>
        <v>0</v>
      </c>
      <c r="N213" s="261">
        <f>'Merluza sur Artesanal'!AG62</f>
        <v>43166</v>
      </c>
      <c r="O213" s="278">
        <v>43465</v>
      </c>
    </row>
    <row r="214" spans="1:15" x14ac:dyDescent="0.25">
      <c r="A214" s="24" t="s">
        <v>310</v>
      </c>
      <c r="B214" s="24" t="s">
        <v>283</v>
      </c>
      <c r="C214" s="24" t="s">
        <v>311</v>
      </c>
      <c r="D214" s="24" t="s">
        <v>348</v>
      </c>
      <c r="E214" s="24" t="s">
        <v>363</v>
      </c>
      <c r="F214" s="24" t="s">
        <v>286</v>
      </c>
      <c r="G214" s="24" t="s">
        <v>288</v>
      </c>
      <c r="H214" s="2">
        <f>'Merluza sur Artesanal'!AH61</f>
        <v>27.126660363500001</v>
      </c>
      <c r="I214" s="2">
        <f>'Merluza sur Artesanal'!AI61</f>
        <v>-27.127000000000002</v>
      </c>
      <c r="J214" s="2">
        <f>'Merluza sur Artesanal'!AJ61</f>
        <v>-3.3963650000146117E-4</v>
      </c>
      <c r="K214" s="2">
        <f>'Merluza sur Artesanal'!AK61</f>
        <v>0</v>
      </c>
      <c r="L214" s="2">
        <f>'Merluza sur Artesanal'!AL61</f>
        <v>-3.3963650000146117E-4</v>
      </c>
      <c r="M214" s="251">
        <f>'Merluza sur Artesanal'!AM61</f>
        <v>0</v>
      </c>
      <c r="N214" s="261" t="s">
        <v>410</v>
      </c>
      <c r="O214" s="278">
        <v>43465</v>
      </c>
    </row>
    <row r="215" spans="1:15" x14ac:dyDescent="0.25">
      <c r="A215" s="24" t="s">
        <v>310</v>
      </c>
      <c r="B215" s="24" t="s">
        <v>283</v>
      </c>
      <c r="C215" s="24" t="s">
        <v>311</v>
      </c>
      <c r="D215" s="24" t="s">
        <v>348</v>
      </c>
      <c r="E215" s="24" t="s">
        <v>364</v>
      </c>
      <c r="F215" s="24" t="s">
        <v>286</v>
      </c>
      <c r="G215" s="24" t="s">
        <v>297</v>
      </c>
      <c r="H215" s="2">
        <f>'Merluza sur Artesanal'!AA63</f>
        <v>59.625812532399998</v>
      </c>
      <c r="I215" s="2">
        <f>'Merluza sur Artesanal'!AB63</f>
        <v>-59.625999999999998</v>
      </c>
      <c r="J215" s="2">
        <f>'Merluza sur Artesanal'!AC63</f>
        <v>-1.8746759999999085E-4</v>
      </c>
      <c r="K215" s="2">
        <f>'Merluza sur Artesanal'!AD63</f>
        <v>0</v>
      </c>
      <c r="L215" s="2">
        <f>'Merluza sur Artesanal'!AE63</f>
        <v>-1.8746759999999085E-4</v>
      </c>
      <c r="M215" s="251">
        <f>'Merluza sur Artesanal'!AF63</f>
        <v>0</v>
      </c>
      <c r="N215" s="261">
        <f>'Merluza sur Artesanal'!AG63</f>
        <v>43154</v>
      </c>
      <c r="O215" s="278">
        <v>43465</v>
      </c>
    </row>
    <row r="216" spans="1:15" x14ac:dyDescent="0.25">
      <c r="A216" s="24" t="s">
        <v>310</v>
      </c>
      <c r="B216" s="24" t="s">
        <v>283</v>
      </c>
      <c r="C216" s="24" t="s">
        <v>311</v>
      </c>
      <c r="D216" s="24" t="s">
        <v>348</v>
      </c>
      <c r="E216" s="24" t="s">
        <v>365</v>
      </c>
      <c r="F216" s="24" t="s">
        <v>298</v>
      </c>
      <c r="G216" s="24" t="s">
        <v>288</v>
      </c>
      <c r="H216" s="2">
        <f>'Merluza sur Artesanal'!AA64</f>
        <v>34.2770628448</v>
      </c>
      <c r="I216" s="2">
        <f>'Merluza sur Artesanal'!AB64</f>
        <v>-34.277000000000001</v>
      </c>
      <c r="J216" s="2">
        <f>'Merluza sur Artesanal'!AC64</f>
        <v>-1.2462280000136161E-4</v>
      </c>
      <c r="K216" s="2">
        <f>'Merluza sur Artesanal'!AD64</f>
        <v>0</v>
      </c>
      <c r="L216" s="2">
        <f>'Merluza sur Artesanal'!AE64</f>
        <v>-1.2462280000136161E-4</v>
      </c>
      <c r="M216" s="251">
        <f>'Merluza sur Artesanal'!AF64</f>
        <v>0</v>
      </c>
      <c r="N216" s="261">
        <f>'Merluza sur Artesanal'!AG64</f>
        <v>43166</v>
      </c>
      <c r="O216" s="278">
        <v>43465</v>
      </c>
    </row>
    <row r="217" spans="1:15" x14ac:dyDescent="0.25">
      <c r="A217" s="24" t="s">
        <v>310</v>
      </c>
      <c r="B217" s="24" t="s">
        <v>283</v>
      </c>
      <c r="C217" s="24" t="s">
        <v>311</v>
      </c>
      <c r="D217" s="24" t="s">
        <v>348</v>
      </c>
      <c r="E217" s="24" t="s">
        <v>366</v>
      </c>
      <c r="F217" s="24" t="s">
        <v>286</v>
      </c>
      <c r="G217" s="24" t="s">
        <v>288</v>
      </c>
      <c r="H217" s="2">
        <f>'Merluza sur Artesanal'!AH63</f>
        <v>93.90287537719999</v>
      </c>
      <c r="I217" s="2">
        <f>'Merluza sur Artesanal'!AI63</f>
        <v>-93.902999999999992</v>
      </c>
      <c r="J217" s="2">
        <f>'Merluza sur Artesanal'!AJ63</f>
        <v>-1.2462280000136161E-4</v>
      </c>
      <c r="K217" s="2">
        <f>'Merluza sur Artesanal'!AK63</f>
        <v>0</v>
      </c>
      <c r="L217" s="2">
        <f>'Merluza sur Artesanal'!AL63</f>
        <v>-1.2462280000136161E-4</v>
      </c>
      <c r="M217" s="251">
        <f>'Merluza sur Artesanal'!AM63</f>
        <v>1</v>
      </c>
      <c r="N217" s="261" t="s">
        <v>410</v>
      </c>
      <c r="O217" s="278">
        <v>43465</v>
      </c>
    </row>
    <row r="218" spans="1:15" x14ac:dyDescent="0.25">
      <c r="A218" s="24" t="s">
        <v>310</v>
      </c>
      <c r="B218" s="24" t="s">
        <v>283</v>
      </c>
      <c r="C218" s="24" t="s">
        <v>311</v>
      </c>
      <c r="D218" s="24" t="s">
        <v>348</v>
      </c>
      <c r="E218" s="24" t="s">
        <v>367</v>
      </c>
      <c r="F218" s="24" t="s">
        <v>286</v>
      </c>
      <c r="G218" s="24" t="s">
        <v>297</v>
      </c>
      <c r="H218" s="2">
        <f>'Merluza sur Artesanal'!AA65</f>
        <v>37.90238343</v>
      </c>
      <c r="I218" s="2">
        <f>'Merluza sur Artesanal'!AB65</f>
        <v>-37.902000000000001</v>
      </c>
      <c r="J218" s="2">
        <f>'Merluza sur Artesanal'!AC65</f>
        <v>3.834299999994073E-4</v>
      </c>
      <c r="K218" s="2">
        <f>'Merluza sur Artesanal'!AD65</f>
        <v>1.111</v>
      </c>
      <c r="L218" s="2">
        <f>'Merluza sur Artesanal'!AE65</f>
        <v>-1.1106165700000006</v>
      </c>
      <c r="M218" s="251">
        <f>'Merluza sur Artesanal'!AF65</f>
        <v>1</v>
      </c>
      <c r="N218" s="261">
        <f>'Merluza sur Artesanal'!AG65</f>
        <v>43166</v>
      </c>
      <c r="O218" s="278">
        <v>43465</v>
      </c>
    </row>
    <row r="219" spans="1:15" x14ac:dyDescent="0.25">
      <c r="A219" s="24" t="s">
        <v>310</v>
      </c>
      <c r="B219" s="24" t="s">
        <v>283</v>
      </c>
      <c r="C219" s="24" t="s">
        <v>311</v>
      </c>
      <c r="D219" s="24" t="s">
        <v>348</v>
      </c>
      <c r="E219" s="24" t="s">
        <v>367</v>
      </c>
      <c r="F219" s="24" t="s">
        <v>298</v>
      </c>
      <c r="G219" s="24" t="s">
        <v>288</v>
      </c>
      <c r="H219" s="2">
        <f>'Merluza sur Artesanal'!AA66</f>
        <v>21.78892536</v>
      </c>
      <c r="I219" s="2">
        <f>'Merluza sur Artesanal'!AB66</f>
        <v>-19.672000000000001</v>
      </c>
      <c r="J219" s="2">
        <f>'Merluza sur Artesanal'!AC66</f>
        <v>1.0063087899999992</v>
      </c>
      <c r="K219" s="2">
        <f>'Merluza sur Artesanal'!AD66</f>
        <v>0.754</v>
      </c>
      <c r="L219" s="2">
        <f>'Merluza sur Artesanal'!AE66</f>
        <v>0.25230878999999917</v>
      </c>
      <c r="M219" s="251">
        <f>'Merluza sur Artesanal'!AF66</f>
        <v>0.74927299402800662</v>
      </c>
      <c r="N219" s="261" t="str">
        <f>'Merluza sur Artesanal'!AG66</f>
        <v>-</v>
      </c>
      <c r="O219" s="278">
        <v>43465</v>
      </c>
    </row>
    <row r="220" spans="1:15" x14ac:dyDescent="0.25">
      <c r="A220" s="24" t="s">
        <v>310</v>
      </c>
      <c r="B220" s="24" t="s">
        <v>283</v>
      </c>
      <c r="C220" s="24" t="s">
        <v>311</v>
      </c>
      <c r="D220" s="24" t="s">
        <v>348</v>
      </c>
      <c r="E220" s="24" t="s">
        <v>367</v>
      </c>
      <c r="F220" s="24" t="s">
        <v>286</v>
      </c>
      <c r="G220" s="24" t="s">
        <v>288</v>
      </c>
      <c r="H220" s="2">
        <f>'Merluza sur Artesanal'!AH65</f>
        <v>59.691308790000001</v>
      </c>
      <c r="I220" s="2">
        <f>'Merluza sur Artesanal'!AI65</f>
        <v>-57.573999999999998</v>
      </c>
      <c r="J220" s="2">
        <f>'Merluza sur Artesanal'!AJ65</f>
        <v>2.1173087900000027</v>
      </c>
      <c r="K220" s="2">
        <f>'Merluza sur Artesanal'!AK65</f>
        <v>1.865</v>
      </c>
      <c r="L220" s="2">
        <f>'Merluza sur Artesanal'!AL65</f>
        <v>0.25230879000000273</v>
      </c>
      <c r="M220" s="251">
        <f>'Merluza sur Artesanal'!AM65</f>
        <v>0.88083514733814405</v>
      </c>
      <c r="N220" s="261" t="s">
        <v>410</v>
      </c>
      <c r="O220" s="278">
        <v>43465</v>
      </c>
    </row>
    <row r="221" spans="1:15" x14ac:dyDescent="0.25">
      <c r="A221" s="24" t="s">
        <v>310</v>
      </c>
      <c r="B221" s="24" t="s">
        <v>283</v>
      </c>
      <c r="C221" s="24" t="s">
        <v>311</v>
      </c>
      <c r="D221" s="24" t="s">
        <v>348</v>
      </c>
      <c r="E221" s="24" t="s">
        <v>368</v>
      </c>
      <c r="F221" s="24" t="s">
        <v>286</v>
      </c>
      <c r="G221" s="24" t="s">
        <v>297</v>
      </c>
      <c r="H221" s="2">
        <f>'Merluza sur Artesanal'!AA67</f>
        <v>1.6879394632</v>
      </c>
      <c r="I221" s="2">
        <f>'Merluza sur Artesanal'!AB67</f>
        <v>-1.6879999999999999</v>
      </c>
      <c r="J221" s="2">
        <f>'Merluza sur Artesanal'!AC67</f>
        <v>-6.0536799999955093E-5</v>
      </c>
      <c r="K221" s="2">
        <f>'Merluza sur Artesanal'!AD67</f>
        <v>0</v>
      </c>
      <c r="L221" s="2">
        <f>'Merluza sur Artesanal'!AE67</f>
        <v>-6.0536799999955093E-5</v>
      </c>
      <c r="M221" s="251">
        <f>'Merluza sur Artesanal'!AF67</f>
        <v>0</v>
      </c>
      <c r="N221" s="261">
        <f>'Merluza sur Artesanal'!AG67</f>
        <v>43227</v>
      </c>
      <c r="O221" s="278">
        <v>43465</v>
      </c>
    </row>
    <row r="222" spans="1:15" x14ac:dyDescent="0.25">
      <c r="A222" s="24" t="s">
        <v>310</v>
      </c>
      <c r="B222" s="24" t="s">
        <v>283</v>
      </c>
      <c r="C222" s="24" t="s">
        <v>311</v>
      </c>
      <c r="D222" s="24" t="s">
        <v>348</v>
      </c>
      <c r="E222" s="24" t="s">
        <v>368</v>
      </c>
      <c r="F222" s="24" t="s">
        <v>298</v>
      </c>
      <c r="G222" s="24" t="s">
        <v>288</v>
      </c>
      <c r="H222" s="2">
        <f>'Merluza sur Artesanal'!AA68</f>
        <v>0.97034496640000001</v>
      </c>
      <c r="I222" s="2">
        <f>'Merluza sur Artesanal'!AB68</f>
        <v>-0.97</v>
      </c>
      <c r="J222" s="2">
        <f>'Merluza sur Artesanal'!AC68</f>
        <v>2.8442960000008011E-4</v>
      </c>
      <c r="K222" s="2">
        <f>'Merluza sur Artesanal'!AD68</f>
        <v>0</v>
      </c>
      <c r="L222" s="2">
        <f>'Merluza sur Artesanal'!AE68</f>
        <v>2.8442960000008011E-4</v>
      </c>
      <c r="M222" s="251">
        <f>'Merluza sur Artesanal'!AF68</f>
        <v>0</v>
      </c>
      <c r="N222" s="261">
        <f>'Merluza sur Artesanal'!AG68</f>
        <v>43227</v>
      </c>
      <c r="O222" s="278">
        <v>43465</v>
      </c>
    </row>
    <row r="223" spans="1:15" x14ac:dyDescent="0.25">
      <c r="A223" s="24" t="s">
        <v>310</v>
      </c>
      <c r="B223" s="24" t="s">
        <v>283</v>
      </c>
      <c r="C223" s="24" t="s">
        <v>311</v>
      </c>
      <c r="D223" s="24" t="s">
        <v>348</v>
      </c>
      <c r="E223" s="24" t="s">
        <v>368</v>
      </c>
      <c r="F223" s="24" t="s">
        <v>286</v>
      </c>
      <c r="G223" s="24" t="s">
        <v>288</v>
      </c>
      <c r="H223" s="2">
        <f>'Merluza sur Artesanal'!AH67</f>
        <v>2.6582844296000001</v>
      </c>
      <c r="I223" s="2">
        <f>'Merluza sur Artesanal'!AI67</f>
        <v>-2.6579999999999999</v>
      </c>
      <c r="J223" s="2">
        <f>'Merluza sur Artesanal'!AJ67</f>
        <v>2.8442960000019113E-4</v>
      </c>
      <c r="K223" s="2">
        <f>'Merluza sur Artesanal'!AK67</f>
        <v>0</v>
      </c>
      <c r="L223" s="2">
        <f>'Merluza sur Artesanal'!AL67</f>
        <v>2.8442960000019113E-4</v>
      </c>
      <c r="M223" s="251">
        <f>'Merluza sur Artesanal'!AM67</f>
        <v>0</v>
      </c>
      <c r="N223" s="261" t="s">
        <v>410</v>
      </c>
      <c r="O223" s="278">
        <v>43465</v>
      </c>
    </row>
    <row r="224" spans="1:15" x14ac:dyDescent="0.25">
      <c r="A224" s="24" t="s">
        <v>310</v>
      </c>
      <c r="B224" s="24" t="s">
        <v>283</v>
      </c>
      <c r="C224" s="24" t="s">
        <v>311</v>
      </c>
      <c r="D224" s="24" t="s">
        <v>348</v>
      </c>
      <c r="E224" s="24" t="s">
        <v>346</v>
      </c>
      <c r="F224" s="24" t="s">
        <v>286</v>
      </c>
      <c r="G224" s="24" t="s">
        <v>297</v>
      </c>
      <c r="H224" s="2">
        <f>'Merluza sur Artesanal'!AA69</f>
        <v>10.753782261300001</v>
      </c>
      <c r="I224" s="2">
        <f>'Merluza sur Artesanal'!AB69</f>
        <v>0</v>
      </c>
      <c r="J224" s="2">
        <f>'Merluza sur Artesanal'!AC69</f>
        <v>10.753782261300001</v>
      </c>
      <c r="K224" s="2">
        <f>'Merluza sur Artesanal'!AD69</f>
        <v>3.556</v>
      </c>
      <c r="L224" s="2">
        <f>'Merluza sur Artesanal'!AE69</f>
        <v>7.1977822613000013</v>
      </c>
      <c r="M224" s="251">
        <f>'Merluza sur Artesanal'!AF69</f>
        <v>0.33067435378500243</v>
      </c>
      <c r="N224" s="261" t="str">
        <f>'Merluza sur Artesanal'!AG69</f>
        <v>-</v>
      </c>
      <c r="O224" s="278">
        <v>43465</v>
      </c>
    </row>
    <row r="225" spans="1:15" x14ac:dyDescent="0.25">
      <c r="A225" s="24" t="s">
        <v>310</v>
      </c>
      <c r="B225" s="24" t="s">
        <v>283</v>
      </c>
      <c r="C225" s="24" t="s">
        <v>311</v>
      </c>
      <c r="D225" s="24" t="s">
        <v>348</v>
      </c>
      <c r="E225" s="24" t="s">
        <v>346</v>
      </c>
      <c r="F225" s="24" t="s">
        <v>298</v>
      </c>
      <c r="G225" s="24" t="s">
        <v>288</v>
      </c>
      <c r="H225" s="2">
        <f>'Merluza sur Artesanal'!AA70</f>
        <v>6.1820217576000003</v>
      </c>
      <c r="I225" s="2">
        <f>'Merluza sur Artesanal'!AB70</f>
        <v>0</v>
      </c>
      <c r="J225" s="2">
        <f>'Merluza sur Artesanal'!AC70</f>
        <v>13.379804018900002</v>
      </c>
      <c r="K225" s="2">
        <f>'Merluza sur Artesanal'!AD70</f>
        <v>7.8179999999999996</v>
      </c>
      <c r="L225" s="2">
        <f>'Merluza sur Artesanal'!AE70</f>
        <v>5.561804018900002</v>
      </c>
      <c r="M225" s="251">
        <f>'Merluza sur Artesanal'!AF70</f>
        <v>0.58431349136029753</v>
      </c>
      <c r="N225" s="261" t="str">
        <f>'Merluza sur Artesanal'!AG70</f>
        <v>-</v>
      </c>
      <c r="O225" s="278">
        <v>43465</v>
      </c>
    </row>
    <row r="226" spans="1:15" x14ac:dyDescent="0.25">
      <c r="A226" s="24" t="s">
        <v>310</v>
      </c>
      <c r="B226" s="24" t="s">
        <v>283</v>
      </c>
      <c r="C226" s="24" t="s">
        <v>311</v>
      </c>
      <c r="D226" s="24" t="s">
        <v>348</v>
      </c>
      <c r="E226" s="24" t="s">
        <v>346</v>
      </c>
      <c r="F226" s="24" t="s">
        <v>286</v>
      </c>
      <c r="G226" s="24" t="s">
        <v>288</v>
      </c>
      <c r="H226" s="2">
        <f>'Merluza sur Artesanal'!AH69</f>
        <v>16.935804018900001</v>
      </c>
      <c r="I226" s="2">
        <f>'Merluza sur Artesanal'!AI69</f>
        <v>0</v>
      </c>
      <c r="J226" s="2">
        <f>'Merluza sur Artesanal'!AJ69</f>
        <v>16.935804018900001</v>
      </c>
      <c r="K226" s="2">
        <f>'Merluza sur Artesanal'!AK69</f>
        <v>11.373999999999999</v>
      </c>
      <c r="L226" s="2">
        <f>'Merluza sur Artesanal'!AL69</f>
        <v>5.561804018900002</v>
      </c>
      <c r="M226" s="251">
        <f>'Merluza sur Artesanal'!AM69</f>
        <v>0.67159492323522718</v>
      </c>
      <c r="N226" s="261" t="s">
        <v>410</v>
      </c>
      <c r="O226" s="278">
        <v>43465</v>
      </c>
    </row>
    <row r="227" spans="1:15" x14ac:dyDescent="0.25">
      <c r="A227" s="24" t="s">
        <v>310</v>
      </c>
      <c r="B227" s="24" t="s">
        <v>283</v>
      </c>
      <c r="C227" s="24" t="s">
        <v>311</v>
      </c>
      <c r="D227" s="24" t="s">
        <v>369</v>
      </c>
      <c r="E227" s="24" t="s">
        <v>370</v>
      </c>
      <c r="F227" s="24" t="s">
        <v>286</v>
      </c>
      <c r="G227" s="24" t="s">
        <v>297</v>
      </c>
      <c r="H227" s="2">
        <f>'Merluza sur Artesanal'!AT37</f>
        <v>38.716081782300002</v>
      </c>
      <c r="I227" s="2">
        <f>'Merluza sur Artesanal'!AU37</f>
        <v>0</v>
      </c>
      <c r="J227" s="2">
        <f>'Merluza sur Artesanal'!AV37</f>
        <v>38.716081782300002</v>
      </c>
      <c r="K227" s="2">
        <f>'Merluza sur Artesanal'!AW37</f>
        <v>25.544</v>
      </c>
      <c r="L227" s="2">
        <f>'Merluza sur Artesanal'!AX37</f>
        <v>13.172081782300001</v>
      </c>
      <c r="M227" s="251">
        <f>'Merluza sur Artesanal'!AY37</f>
        <v>0.65977750908869248</v>
      </c>
      <c r="N227" s="261" t="str">
        <f>'Merluza sur Artesanal'!AZ37</f>
        <v>-</v>
      </c>
      <c r="O227" s="278">
        <v>43465</v>
      </c>
    </row>
    <row r="228" spans="1:15" x14ac:dyDescent="0.25">
      <c r="A228" s="24" t="s">
        <v>310</v>
      </c>
      <c r="B228" s="24" t="s">
        <v>283</v>
      </c>
      <c r="C228" s="24" t="s">
        <v>311</v>
      </c>
      <c r="D228" s="24" t="s">
        <v>369</v>
      </c>
      <c r="E228" s="24" t="s">
        <v>370</v>
      </c>
      <c r="F228" s="24" t="s">
        <v>298</v>
      </c>
      <c r="G228" s="24" t="s">
        <v>288</v>
      </c>
      <c r="H228" s="2">
        <f>'Merluza sur Artesanal'!AT38</f>
        <v>22.256695749599999</v>
      </c>
      <c r="I228" s="2">
        <f>'Merluza sur Artesanal'!AU38</f>
        <v>0</v>
      </c>
      <c r="J228" s="2">
        <f>'Merluza sur Artesanal'!AV38</f>
        <v>35.428777531899996</v>
      </c>
      <c r="K228" s="2">
        <f>'Merluza sur Artesanal'!AW38</f>
        <v>31.478000000000002</v>
      </c>
      <c r="L228" s="2">
        <f>'Merluza sur Artesanal'!AX38</f>
        <v>3.9507775318999947</v>
      </c>
      <c r="M228" s="251">
        <f>'Merluza sur Artesanal'!AY38</f>
        <v>0.88848676677193494</v>
      </c>
      <c r="N228" s="261" t="str">
        <f>'Merluza sur Artesanal'!AZ38</f>
        <v>-</v>
      </c>
      <c r="O228" s="278">
        <v>43465</v>
      </c>
    </row>
    <row r="229" spans="1:15" x14ac:dyDescent="0.25">
      <c r="A229" s="24" t="s">
        <v>310</v>
      </c>
      <c r="B229" s="24" t="s">
        <v>283</v>
      </c>
      <c r="C229" s="24" t="s">
        <v>311</v>
      </c>
      <c r="D229" s="24" t="s">
        <v>369</v>
      </c>
      <c r="E229" s="24" t="s">
        <v>370</v>
      </c>
      <c r="F229" s="24" t="s">
        <v>286</v>
      </c>
      <c r="G229" s="24" t="s">
        <v>288</v>
      </c>
      <c r="H229" s="2">
        <f>'Merluza sur Artesanal'!BA37</f>
        <v>60.9727775319</v>
      </c>
      <c r="I229" s="2">
        <f>'Merluza sur Artesanal'!BB37</f>
        <v>0</v>
      </c>
      <c r="J229" s="2">
        <f>'Merluza sur Artesanal'!BC37</f>
        <v>60.9727775319</v>
      </c>
      <c r="K229" s="2">
        <f>'Merluza sur Artesanal'!BD37</f>
        <v>57.022000000000006</v>
      </c>
      <c r="L229" s="2">
        <f>'Merluza sur Artesanal'!BE37</f>
        <v>3.9507775318999947</v>
      </c>
      <c r="M229" s="251">
        <f>'Merluza sur Artesanal'!BF37</f>
        <v>0.9352042388124272</v>
      </c>
      <c r="N229" s="24" t="s">
        <v>410</v>
      </c>
      <c r="O229" s="278">
        <v>43465</v>
      </c>
    </row>
    <row r="230" spans="1:15" x14ac:dyDescent="0.25">
      <c r="A230" s="24" t="s">
        <v>310</v>
      </c>
      <c r="B230" s="24" t="s">
        <v>283</v>
      </c>
      <c r="C230" s="24" t="s">
        <v>311</v>
      </c>
      <c r="D230" s="24" t="s">
        <v>369</v>
      </c>
      <c r="E230" s="24" t="s">
        <v>371</v>
      </c>
      <c r="F230" s="24" t="s">
        <v>286</v>
      </c>
      <c r="G230" s="24" t="s">
        <v>297</v>
      </c>
      <c r="H230" s="2">
        <f>'Merluza sur Artesanal'!AT39</f>
        <v>33.439254993500001</v>
      </c>
      <c r="I230" s="2">
        <f>'Merluza sur Artesanal'!AU39</f>
        <v>-33.439</v>
      </c>
      <c r="J230" s="2">
        <f>'Merluza sur Artesanal'!AV39</f>
        <v>2.5499350000046661E-4</v>
      </c>
      <c r="K230" s="2">
        <f>'Merluza sur Artesanal'!AW39</f>
        <v>0</v>
      </c>
      <c r="L230" s="2">
        <f>'Merluza sur Artesanal'!AX39</f>
        <v>2.5499350000046661E-4</v>
      </c>
      <c r="M230" s="251">
        <f>'Merluza sur Artesanal'!AY39</f>
        <v>0</v>
      </c>
      <c r="N230" s="261">
        <f>'Merluza sur Artesanal'!AZ39</f>
        <v>43166</v>
      </c>
      <c r="O230" s="278">
        <v>43465</v>
      </c>
    </row>
    <row r="231" spans="1:15" x14ac:dyDescent="0.25">
      <c r="A231" s="24" t="s">
        <v>310</v>
      </c>
      <c r="B231" s="24" t="s">
        <v>283</v>
      </c>
      <c r="C231" s="24" t="s">
        <v>311</v>
      </c>
      <c r="D231" s="24" t="s">
        <v>369</v>
      </c>
      <c r="E231" s="24" t="s">
        <v>371</v>
      </c>
      <c r="F231" s="24" t="s">
        <v>298</v>
      </c>
      <c r="G231" s="24" t="s">
        <v>288</v>
      </c>
      <c r="H231" s="2">
        <f>'Merluza sur Artesanal'!AT40</f>
        <v>19.223208812000003</v>
      </c>
      <c r="I231" s="2">
        <f>'Merluza sur Artesanal'!AU40</f>
        <v>-18.282</v>
      </c>
      <c r="J231" s="2">
        <f>'Merluza sur Artesanal'!AV40</f>
        <v>0.9414638055000033</v>
      </c>
      <c r="K231" s="2">
        <f>'Merluza sur Artesanal'!AW40</f>
        <v>0</v>
      </c>
      <c r="L231" s="2">
        <f>'Merluza sur Artesanal'!AX40</f>
        <v>0.9414638055000033</v>
      </c>
      <c r="M231" s="251">
        <f>'Merluza sur Artesanal'!AY40</f>
        <v>0</v>
      </c>
      <c r="N231" s="261" t="str">
        <f>'Merluza sur Artesanal'!AZ40</f>
        <v>-</v>
      </c>
      <c r="O231" s="278">
        <v>43465</v>
      </c>
    </row>
    <row r="232" spans="1:15" x14ac:dyDescent="0.25">
      <c r="A232" s="24" t="s">
        <v>310</v>
      </c>
      <c r="B232" s="24" t="s">
        <v>283</v>
      </c>
      <c r="C232" s="24" t="s">
        <v>311</v>
      </c>
      <c r="D232" s="24" t="s">
        <v>369</v>
      </c>
      <c r="E232" s="24" t="s">
        <v>371</v>
      </c>
      <c r="F232" s="24" t="s">
        <v>286</v>
      </c>
      <c r="G232" s="24" t="s">
        <v>288</v>
      </c>
      <c r="H232" s="2">
        <f>'Merluza sur Artesanal'!BA39</f>
        <v>52.662463805500003</v>
      </c>
      <c r="I232" s="2">
        <f>'Merluza sur Artesanal'!BB39</f>
        <v>-51.721000000000004</v>
      </c>
      <c r="J232" s="2">
        <f>'Merluza sur Artesanal'!BC39</f>
        <v>104.38346380550001</v>
      </c>
      <c r="K232" s="2">
        <f>'Merluza sur Artesanal'!BD39</f>
        <v>0</v>
      </c>
      <c r="L232" s="2">
        <f>'Merluza sur Artesanal'!BE39</f>
        <v>104.38346380550001</v>
      </c>
      <c r="M232" s="251">
        <f>'Merluza sur Artesanal'!BF39</f>
        <v>0</v>
      </c>
      <c r="N232" s="24" t="s">
        <v>410</v>
      </c>
      <c r="O232" s="278">
        <v>43465</v>
      </c>
    </row>
    <row r="233" spans="1:15" x14ac:dyDescent="0.25">
      <c r="A233" s="24" t="s">
        <v>310</v>
      </c>
      <c r="B233" s="24" t="s">
        <v>283</v>
      </c>
      <c r="C233" s="24" t="s">
        <v>311</v>
      </c>
      <c r="D233" s="24" t="s">
        <v>369</v>
      </c>
      <c r="E233" s="24" t="s">
        <v>372</v>
      </c>
      <c r="F233" s="24" t="s">
        <v>286</v>
      </c>
      <c r="G233" s="24" t="s">
        <v>297</v>
      </c>
      <c r="H233" s="2">
        <f>'Merluza sur Artesanal'!AT41</f>
        <v>6.1339998168000003</v>
      </c>
      <c r="I233" s="2">
        <f>'Merluza sur Artesanal'!AU41</f>
        <v>0</v>
      </c>
      <c r="J233" s="2">
        <f>'Merluza sur Artesanal'!AV41</f>
        <v>6.1339998168000003</v>
      </c>
      <c r="K233" s="2">
        <f>'Merluza sur Artesanal'!AW41</f>
        <v>0</v>
      </c>
      <c r="L233" s="2">
        <f>'Merluza sur Artesanal'!AX41</f>
        <v>6.1339998168000003</v>
      </c>
      <c r="M233" s="251">
        <f>'Merluza sur Artesanal'!AY41</f>
        <v>0</v>
      </c>
      <c r="N233" s="261" t="str">
        <f>'Merluza sur Artesanal'!AZ41</f>
        <v>-</v>
      </c>
      <c r="O233" s="278">
        <v>43465</v>
      </c>
    </row>
    <row r="234" spans="1:15" x14ac:dyDescent="0.25">
      <c r="A234" s="24" t="s">
        <v>310</v>
      </c>
      <c r="B234" s="24" t="s">
        <v>283</v>
      </c>
      <c r="C234" s="24" t="s">
        <v>311</v>
      </c>
      <c r="D234" s="24" t="s">
        <v>369</v>
      </c>
      <c r="E234" s="24" t="s">
        <v>372</v>
      </c>
      <c r="F234" s="24" t="s">
        <v>298</v>
      </c>
      <c r="G234" s="24" t="s">
        <v>288</v>
      </c>
      <c r="H234" s="2">
        <f>'Merluza sur Artesanal'!AT42</f>
        <v>3.5262495935999998</v>
      </c>
      <c r="I234" s="2">
        <f>'Merluza sur Artesanal'!AU42</f>
        <v>0</v>
      </c>
      <c r="J234" s="2">
        <f>'Merluza sur Artesanal'!AV42</f>
        <v>9.6602494104000005</v>
      </c>
      <c r="K234" s="2">
        <f>'Merluza sur Artesanal'!AW42</f>
        <v>10</v>
      </c>
      <c r="L234" s="2">
        <f>'Merluza sur Artesanal'!AX42</f>
        <v>-0.33975058959999949</v>
      </c>
      <c r="M234" s="251">
        <f>'Merluza sur Artesanal'!AY42</f>
        <v>1.0351699604395548</v>
      </c>
      <c r="N234" s="261" t="str">
        <f>'Merluza sur Artesanal'!AZ42</f>
        <v>-</v>
      </c>
      <c r="O234" s="278">
        <v>43465</v>
      </c>
    </row>
    <row r="235" spans="1:15" x14ac:dyDescent="0.25">
      <c r="A235" s="24" t="s">
        <v>310</v>
      </c>
      <c r="B235" s="24" t="s">
        <v>283</v>
      </c>
      <c r="C235" s="24" t="s">
        <v>311</v>
      </c>
      <c r="D235" s="24" t="s">
        <v>369</v>
      </c>
      <c r="E235" s="24" t="s">
        <v>372</v>
      </c>
      <c r="F235" s="24" t="s">
        <v>286</v>
      </c>
      <c r="G235" s="24" t="s">
        <v>288</v>
      </c>
      <c r="H235" s="2">
        <f>'Merluza sur Artesanal'!BA41</f>
        <v>9.6602494104000005</v>
      </c>
      <c r="I235" s="2">
        <f>'Merluza sur Artesanal'!BB41</f>
        <v>0</v>
      </c>
      <c r="J235" s="2">
        <f>'Merluza sur Artesanal'!BC41</f>
        <v>9.6602494104000005</v>
      </c>
      <c r="K235" s="2">
        <f>'Merluza sur Artesanal'!BD41</f>
        <v>10</v>
      </c>
      <c r="L235" s="2">
        <f>'Merluza sur Artesanal'!BE41</f>
        <v>-0.33975058959999949</v>
      </c>
      <c r="M235" s="251">
        <f>'Merluza sur Artesanal'!BF41</f>
        <v>1.0351699604395548</v>
      </c>
      <c r="N235" s="24" t="s">
        <v>410</v>
      </c>
      <c r="O235" s="278">
        <v>43465</v>
      </c>
    </row>
    <row r="236" spans="1:15" x14ac:dyDescent="0.25">
      <c r="A236" s="24" t="s">
        <v>310</v>
      </c>
      <c r="B236" s="24" t="s">
        <v>283</v>
      </c>
      <c r="C236" s="24" t="s">
        <v>311</v>
      </c>
      <c r="D236" s="24" t="s">
        <v>369</v>
      </c>
      <c r="E236" s="24" t="s">
        <v>373</v>
      </c>
      <c r="F236" s="24" t="s">
        <v>286</v>
      </c>
      <c r="G236" s="24" t="s">
        <v>297</v>
      </c>
      <c r="H236" s="2">
        <f>'Merluza sur Artesanal'!AT43</f>
        <v>60.213200794599999</v>
      </c>
      <c r="I236" s="2">
        <f>'Merluza sur Artesanal'!AU43</f>
        <v>-89.903000000000006</v>
      </c>
      <c r="J236" s="2">
        <f>'Merluza sur Artesanal'!AV43</f>
        <v>-29.689799205400007</v>
      </c>
      <c r="K236" s="2">
        <f>'Merluza sur Artesanal'!AW43</f>
        <v>1.359</v>
      </c>
      <c r="L236" s="2">
        <f>'Merluza sur Artesanal'!AX43</f>
        <v>-31.048799205400009</v>
      </c>
      <c r="M236" s="251">
        <f>'Merluza sur Artesanal'!AY43</f>
        <v>-4.577329710444198E-2</v>
      </c>
      <c r="N236" s="261">
        <f>'Merluza sur Artesanal'!AZ43</f>
        <v>43179</v>
      </c>
      <c r="O236" s="278">
        <v>43465</v>
      </c>
    </row>
    <row r="237" spans="1:15" x14ac:dyDescent="0.25">
      <c r="A237" s="24" t="s">
        <v>310</v>
      </c>
      <c r="B237" s="24" t="s">
        <v>283</v>
      </c>
      <c r="C237" s="24" t="s">
        <v>311</v>
      </c>
      <c r="D237" s="24" t="s">
        <v>369</v>
      </c>
      <c r="E237" s="24" t="s">
        <v>373</v>
      </c>
      <c r="F237" s="24" t="s">
        <v>298</v>
      </c>
      <c r="G237" s="24" t="s">
        <v>288</v>
      </c>
      <c r="H237" s="2">
        <f>'Merluza sur Artesanal'!AT44</f>
        <v>34.614734459200001</v>
      </c>
      <c r="I237" s="2">
        <f>'Merluza sur Artesanal'!AU44</f>
        <v>-1.2869999999999999</v>
      </c>
      <c r="J237" s="2">
        <f>'Merluza sur Artesanal'!AV44</f>
        <v>2.2789352537999932</v>
      </c>
      <c r="K237" s="2">
        <f>'Merluza sur Artesanal'!AW44</f>
        <v>2.2789999999999999</v>
      </c>
      <c r="L237" s="2">
        <f>'Merluza sur Artesanal'!AX44</f>
        <v>-6.4746200006737809E-5</v>
      </c>
      <c r="M237" s="251">
        <f>'Merluza sur Artesanal'!AY44</f>
        <v>1.0000284107237793</v>
      </c>
      <c r="N237" s="261" t="str">
        <f>'Merluza sur Artesanal'!AZ44</f>
        <v>-</v>
      </c>
      <c r="O237" s="278">
        <v>43465</v>
      </c>
    </row>
    <row r="238" spans="1:15" x14ac:dyDescent="0.25">
      <c r="A238" s="24" t="s">
        <v>310</v>
      </c>
      <c r="B238" s="24" t="s">
        <v>283</v>
      </c>
      <c r="C238" s="24" t="s">
        <v>311</v>
      </c>
      <c r="D238" s="24" t="s">
        <v>369</v>
      </c>
      <c r="E238" s="24" t="s">
        <v>373</v>
      </c>
      <c r="F238" s="24" t="s">
        <v>286</v>
      </c>
      <c r="G238" s="24" t="s">
        <v>288</v>
      </c>
      <c r="H238" s="2">
        <f>'Merluza sur Artesanal'!BA43</f>
        <v>94.827935253800007</v>
      </c>
      <c r="I238" s="2">
        <f>'Merluza sur Artesanal'!BB43</f>
        <v>-91.190000000000012</v>
      </c>
      <c r="J238" s="2">
        <f>'Merluza sur Artesanal'!BC43</f>
        <v>186.01793525380003</v>
      </c>
      <c r="K238" s="2">
        <f>'Merluza sur Artesanal'!BD43</f>
        <v>3.6379999999999999</v>
      </c>
      <c r="L238" s="2">
        <f>'Merluza sur Artesanal'!BE43</f>
        <v>182.37993525380003</v>
      </c>
      <c r="M238" s="251">
        <f>'Merluza sur Artesanal'!BF43</f>
        <v>1.9557253955304731E-2</v>
      </c>
      <c r="N238" s="24" t="s">
        <v>410</v>
      </c>
      <c r="O238" s="278">
        <v>43465</v>
      </c>
    </row>
    <row r="239" spans="1:15" x14ac:dyDescent="0.25">
      <c r="A239" s="24" t="s">
        <v>310</v>
      </c>
      <c r="B239" s="24" t="s">
        <v>283</v>
      </c>
      <c r="C239" s="24" t="s">
        <v>311</v>
      </c>
      <c r="D239" s="24" t="s">
        <v>369</v>
      </c>
      <c r="E239" s="24" t="s">
        <v>374</v>
      </c>
      <c r="F239" s="24" t="s">
        <v>286</v>
      </c>
      <c r="G239" s="24" t="s">
        <v>297</v>
      </c>
      <c r="H239" s="2">
        <f>'Merluza sur Artesanal'!AT45</f>
        <v>39.653042536699999</v>
      </c>
      <c r="I239" s="2">
        <f>'Merluza sur Artesanal'!AU45</f>
        <v>-39.652999999999999</v>
      </c>
      <c r="J239" s="2">
        <f>'Merluza sur Artesanal'!AV45</f>
        <v>4.253670000053944E-5</v>
      </c>
      <c r="K239" s="2">
        <f>'Merluza sur Artesanal'!AW45</f>
        <v>0</v>
      </c>
      <c r="L239" s="2">
        <f>'Merluza sur Artesanal'!AX45</f>
        <v>4.253670000053944E-5</v>
      </c>
      <c r="M239" s="251">
        <f>'Merluza sur Artesanal'!AY45</f>
        <v>0</v>
      </c>
      <c r="N239" s="261">
        <f>'Merluza sur Artesanal'!AZ45</f>
        <v>43166</v>
      </c>
      <c r="O239" s="278">
        <v>43465</v>
      </c>
    </row>
    <row r="240" spans="1:15" x14ac:dyDescent="0.25">
      <c r="A240" s="24" t="s">
        <v>310</v>
      </c>
      <c r="B240" s="24" t="s">
        <v>283</v>
      </c>
      <c r="C240" s="24" t="s">
        <v>311</v>
      </c>
      <c r="D240" s="24" t="s">
        <v>369</v>
      </c>
      <c r="E240" s="24" t="s">
        <v>374</v>
      </c>
      <c r="F240" s="24" t="s">
        <v>298</v>
      </c>
      <c r="G240" s="24" t="s">
        <v>288</v>
      </c>
      <c r="H240" s="2">
        <f>'Merluza sur Artesanal'!AT46</f>
        <v>22.795325938399998</v>
      </c>
      <c r="I240" s="2">
        <f>'Merluza sur Artesanal'!AU46</f>
        <v>-21.033000000000001</v>
      </c>
      <c r="J240" s="2">
        <f>'Merluza sur Artesanal'!AV46</f>
        <v>1.7623684750999971</v>
      </c>
      <c r="K240" s="2">
        <f>'Merluza sur Artesanal'!AW46</f>
        <v>1.556</v>
      </c>
      <c r="L240" s="2">
        <f>'Merluza sur Artesanal'!AX46</f>
        <v>0.20636847509999701</v>
      </c>
      <c r="M240" s="251">
        <f>'Merluza sur Artesanal'!AY46</f>
        <v>0.88290276521867106</v>
      </c>
      <c r="N240" s="261" t="str">
        <f>'Merluza sur Artesanal'!AZ46</f>
        <v>-</v>
      </c>
      <c r="O240" s="278">
        <v>43465</v>
      </c>
    </row>
    <row r="241" spans="1:15" x14ac:dyDescent="0.25">
      <c r="A241" s="24" t="s">
        <v>310</v>
      </c>
      <c r="B241" s="24" t="s">
        <v>283</v>
      </c>
      <c r="C241" s="24" t="s">
        <v>311</v>
      </c>
      <c r="D241" s="24" t="s">
        <v>369</v>
      </c>
      <c r="E241" s="24" t="s">
        <v>374</v>
      </c>
      <c r="F241" s="24" t="s">
        <v>286</v>
      </c>
      <c r="G241" s="24" t="s">
        <v>288</v>
      </c>
      <c r="H241" s="2">
        <f>'Merluza sur Artesanal'!BA45</f>
        <v>62.448368475099997</v>
      </c>
      <c r="I241" s="2">
        <f>'Merluza sur Artesanal'!BB45</f>
        <v>-60.686</v>
      </c>
      <c r="J241" s="2">
        <f>'Merluza sur Artesanal'!BC45</f>
        <v>123.13436847509999</v>
      </c>
      <c r="K241" s="2">
        <f>'Merluza sur Artesanal'!BD45</f>
        <v>1.556</v>
      </c>
      <c r="L241" s="2">
        <f>'Merluza sur Artesanal'!BE45</f>
        <v>121.57836847509999</v>
      </c>
      <c r="M241" s="251">
        <f>'Merluza sur Artesanal'!BF45</f>
        <v>1.2636601943629179E-2</v>
      </c>
      <c r="N241" s="24" t="s">
        <v>410</v>
      </c>
      <c r="O241" s="278">
        <v>43465</v>
      </c>
    </row>
    <row r="242" spans="1:15" x14ac:dyDescent="0.25">
      <c r="A242" s="24" t="s">
        <v>310</v>
      </c>
      <c r="B242" s="24" t="s">
        <v>283</v>
      </c>
      <c r="C242" s="24" t="s">
        <v>311</v>
      </c>
      <c r="D242" s="24" t="s">
        <v>369</v>
      </c>
      <c r="E242" s="24" t="s">
        <v>375</v>
      </c>
      <c r="F242" s="24" t="s">
        <v>286</v>
      </c>
      <c r="G242" s="24" t="s">
        <v>297</v>
      </c>
      <c r="H242" s="2">
        <f>'Merluza sur Artesanal'!AT47</f>
        <v>26.930789872400002</v>
      </c>
      <c r="I242" s="2">
        <f>'Merluza sur Artesanal'!AU47</f>
        <v>0</v>
      </c>
      <c r="J242" s="2">
        <f>'Merluza sur Artesanal'!AV47</f>
        <v>26.930789872400002</v>
      </c>
      <c r="K242" s="2">
        <f>'Merluza sur Artesanal'!AW47</f>
        <v>15.661</v>
      </c>
      <c r="L242" s="2">
        <f>'Merluza sur Artesanal'!AX47</f>
        <v>11.269789872400002</v>
      </c>
      <c r="M242" s="251">
        <f>'Merluza sur Artesanal'!AY47</f>
        <v>0.58152768909500729</v>
      </c>
      <c r="N242" s="261" t="str">
        <f>'Merluza sur Artesanal'!AZ47</f>
        <v>-</v>
      </c>
      <c r="O242" s="278">
        <v>43465</v>
      </c>
    </row>
    <row r="243" spans="1:15" x14ac:dyDescent="0.25">
      <c r="A243" s="24" t="s">
        <v>310</v>
      </c>
      <c r="B243" s="24" t="s">
        <v>283</v>
      </c>
      <c r="C243" s="24" t="s">
        <v>311</v>
      </c>
      <c r="D243" s="24" t="s">
        <v>369</v>
      </c>
      <c r="E243" s="24" t="s">
        <v>375</v>
      </c>
      <c r="F243" s="24" t="s">
        <v>298</v>
      </c>
      <c r="G243" s="24" t="s">
        <v>288</v>
      </c>
      <c r="H243" s="2">
        <f>'Merluza sur Artesanal'!AT48</f>
        <v>15.481690524800001</v>
      </c>
      <c r="I243" s="2">
        <f>'Merluza sur Artesanal'!AU48</f>
        <v>0</v>
      </c>
      <c r="J243" s="2">
        <f>'Merluza sur Artesanal'!AV48</f>
        <v>26.751480397200005</v>
      </c>
      <c r="K243" s="2">
        <f>'Merluza sur Artesanal'!AW48</f>
        <v>26.05</v>
      </c>
      <c r="L243" s="2">
        <f>'Merluza sur Artesanal'!AX48</f>
        <v>0.70148039720000455</v>
      </c>
      <c r="M243" s="251">
        <f>'Merluza sur Artesanal'!AY48</f>
        <v>0.97377788493255024</v>
      </c>
      <c r="N243" s="261" t="str">
        <f>'Merluza sur Artesanal'!AZ48</f>
        <v>-</v>
      </c>
      <c r="O243" s="278">
        <v>43465</v>
      </c>
    </row>
    <row r="244" spans="1:15" x14ac:dyDescent="0.25">
      <c r="A244" s="24" t="s">
        <v>310</v>
      </c>
      <c r="B244" s="24" t="s">
        <v>283</v>
      </c>
      <c r="C244" s="24" t="s">
        <v>311</v>
      </c>
      <c r="D244" s="24" t="s">
        <v>369</v>
      </c>
      <c r="E244" s="24" t="s">
        <v>375</v>
      </c>
      <c r="F244" s="24" t="s">
        <v>286</v>
      </c>
      <c r="G244" s="24" t="s">
        <v>288</v>
      </c>
      <c r="H244" s="2">
        <f>'Merluza sur Artesanal'!BA47</f>
        <v>42.4124803972</v>
      </c>
      <c r="I244" s="2">
        <f>'Merluza sur Artesanal'!BB47</f>
        <v>0</v>
      </c>
      <c r="J244" s="2">
        <f>'Merluza sur Artesanal'!BC47</f>
        <v>42.4124803972</v>
      </c>
      <c r="K244" s="2">
        <f>'Merluza sur Artesanal'!BD47</f>
        <v>41.710999999999999</v>
      </c>
      <c r="L244" s="2">
        <f>'Merluza sur Artesanal'!BE47</f>
        <v>0.70148039720000099</v>
      </c>
      <c r="M244" s="251">
        <f>'Merluza sur Artesanal'!BF47</f>
        <v>0.98346051938885637</v>
      </c>
      <c r="N244" s="24" t="s">
        <v>410</v>
      </c>
      <c r="O244" s="278">
        <v>43465</v>
      </c>
    </row>
    <row r="245" spans="1:15" x14ac:dyDescent="0.25">
      <c r="A245" s="24" t="s">
        <v>310</v>
      </c>
      <c r="B245" s="24" t="s">
        <v>283</v>
      </c>
      <c r="C245" s="24" t="s">
        <v>311</v>
      </c>
      <c r="D245" s="24" t="s">
        <v>369</v>
      </c>
      <c r="E245" s="24" t="s">
        <v>376</v>
      </c>
      <c r="F245" s="24" t="s">
        <v>286</v>
      </c>
      <c r="G245" s="24" t="s">
        <v>297</v>
      </c>
      <c r="H245" s="2">
        <f>'Merluza sur Artesanal'!AT49</f>
        <v>3.7395372762999997</v>
      </c>
      <c r="I245" s="2">
        <f>'Merluza sur Artesanal'!AU49</f>
        <v>0</v>
      </c>
      <c r="J245" s="2">
        <f>'Merluza sur Artesanal'!AV49</f>
        <v>3.7395372762999997</v>
      </c>
      <c r="K245" s="2">
        <f>'Merluza sur Artesanal'!AW49</f>
        <v>0</v>
      </c>
      <c r="L245" s="2">
        <f>'Merluza sur Artesanal'!AX49</f>
        <v>3.7395372762999997</v>
      </c>
      <c r="M245" s="251">
        <f>'Merluza sur Artesanal'!AY49</f>
        <v>0</v>
      </c>
      <c r="N245" s="261" t="str">
        <f>'Merluza sur Artesanal'!AZ49</f>
        <v>-</v>
      </c>
      <c r="O245" s="278">
        <v>43465</v>
      </c>
    </row>
    <row r="246" spans="1:15" x14ac:dyDescent="0.25">
      <c r="A246" s="24" t="s">
        <v>310</v>
      </c>
      <c r="B246" s="24" t="s">
        <v>283</v>
      </c>
      <c r="C246" s="24" t="s">
        <v>311</v>
      </c>
      <c r="D246" s="24" t="s">
        <v>369</v>
      </c>
      <c r="E246" s="24" t="s">
        <v>376</v>
      </c>
      <c r="F246" s="24" t="s">
        <v>298</v>
      </c>
      <c r="G246" s="24" t="s">
        <v>288</v>
      </c>
      <c r="H246" s="2">
        <f>'Merluza sur Artesanal'!AT50</f>
        <v>2.1497460375999999</v>
      </c>
      <c r="I246" s="2">
        <f>'Merluza sur Artesanal'!AU50</f>
        <v>-4.2969999999999997</v>
      </c>
      <c r="J246" s="2">
        <f>'Merluza sur Artesanal'!AV50</f>
        <v>1.5922833138999999</v>
      </c>
      <c r="K246" s="2">
        <f>'Merluza sur Artesanal'!AW50</f>
        <v>1.556</v>
      </c>
      <c r="L246" s="2">
        <f>'Merluza sur Artesanal'!AX50</f>
        <v>3.6283313899999836E-2</v>
      </c>
      <c r="M246" s="251">
        <f>'Merluza sur Artesanal'!AY50</f>
        <v>0.97721302887290162</v>
      </c>
      <c r="N246" s="261" t="str">
        <f>'Merluza sur Artesanal'!AZ50</f>
        <v>-</v>
      </c>
      <c r="O246" s="278">
        <v>43465</v>
      </c>
    </row>
    <row r="247" spans="1:15" x14ac:dyDescent="0.25">
      <c r="A247" s="24" t="s">
        <v>310</v>
      </c>
      <c r="B247" s="24" t="s">
        <v>283</v>
      </c>
      <c r="C247" s="24" t="s">
        <v>311</v>
      </c>
      <c r="D247" s="24" t="s">
        <v>369</v>
      </c>
      <c r="E247" s="24" t="s">
        <v>376</v>
      </c>
      <c r="F247" s="24" t="s">
        <v>286</v>
      </c>
      <c r="G247" s="24" t="s">
        <v>288</v>
      </c>
      <c r="H247" s="2">
        <f>'Merluza sur Artesanal'!BA49</f>
        <v>5.8892833139</v>
      </c>
      <c r="I247" s="2">
        <f>'Merluza sur Artesanal'!BB49</f>
        <v>-4.2969999999999997</v>
      </c>
      <c r="J247" s="2">
        <f>'Merluza sur Artesanal'!BC49</f>
        <v>10.186283313899999</v>
      </c>
      <c r="K247" s="2">
        <f>'Merluza sur Artesanal'!BD49</f>
        <v>1.556</v>
      </c>
      <c r="L247" s="2">
        <f>'Merluza sur Artesanal'!BE49</f>
        <v>8.6302833138999979</v>
      </c>
      <c r="M247" s="251">
        <f>'Merluza sur Artesanal'!BF49</f>
        <v>0.15275443967641403</v>
      </c>
      <c r="N247" s="24" t="s">
        <v>410</v>
      </c>
      <c r="O247" s="278">
        <v>43465</v>
      </c>
    </row>
    <row r="248" spans="1:15" x14ac:dyDescent="0.25">
      <c r="A248" s="24" t="s">
        <v>310</v>
      </c>
      <c r="B248" s="24" t="s">
        <v>283</v>
      </c>
      <c r="C248" s="24" t="s">
        <v>311</v>
      </c>
      <c r="D248" s="24" t="s">
        <v>369</v>
      </c>
      <c r="E248" s="24" t="s">
        <v>377</v>
      </c>
      <c r="F248" s="24" t="s">
        <v>286</v>
      </c>
      <c r="G248" s="24" t="s">
        <v>297</v>
      </c>
      <c r="H248" s="2">
        <f>'Merluza sur Artesanal'!AT51</f>
        <v>3.0921699687999999</v>
      </c>
      <c r="I248" s="2">
        <f>'Merluza sur Artesanal'!AU51</f>
        <v>0</v>
      </c>
      <c r="J248" s="2">
        <f>'Merluza sur Artesanal'!AV51</f>
        <v>3.0921699687999999</v>
      </c>
      <c r="K248" s="2">
        <f>'Merluza sur Artesanal'!AW51</f>
        <v>2.2320000000000002</v>
      </c>
      <c r="L248" s="2">
        <f>'Merluza sur Artesanal'!AX51</f>
        <v>0.86016996879999974</v>
      </c>
      <c r="M248" s="251">
        <f>'Merluza sur Artesanal'!AY51</f>
        <v>0.72182319294245911</v>
      </c>
      <c r="N248" s="261" t="str">
        <f>'Merluza sur Artesanal'!AZ51</f>
        <v>-</v>
      </c>
      <c r="O248" s="278">
        <v>43465</v>
      </c>
    </row>
    <row r="249" spans="1:15" x14ac:dyDescent="0.25">
      <c r="A249" s="24" t="s">
        <v>310</v>
      </c>
      <c r="B249" s="24" t="s">
        <v>283</v>
      </c>
      <c r="C249" s="24" t="s">
        <v>311</v>
      </c>
      <c r="D249" s="24" t="s">
        <v>369</v>
      </c>
      <c r="E249" s="24" t="s">
        <v>377</v>
      </c>
      <c r="F249" s="24" t="s">
        <v>298</v>
      </c>
      <c r="G249" s="24" t="s">
        <v>288</v>
      </c>
      <c r="H249" s="2">
        <f>'Merluza sur Artesanal'!AT52</f>
        <v>1.7775942976000001</v>
      </c>
      <c r="I249" s="2">
        <f>'Merluza sur Artesanal'!AU52</f>
        <v>0</v>
      </c>
      <c r="J249" s="2">
        <f>'Merluza sur Artesanal'!AV52</f>
        <v>2.6377642663999996</v>
      </c>
      <c r="K249" s="2">
        <f>'Merluza sur Artesanal'!AW52</f>
        <v>2.633</v>
      </c>
      <c r="L249" s="2">
        <f>'Merluza sur Artesanal'!AX52</f>
        <v>4.764266399999606E-3</v>
      </c>
      <c r="M249" s="251">
        <f>'Merluza sur Artesanal'!AY52</f>
        <v>0.99819382404231982</v>
      </c>
      <c r="N249" s="261" t="str">
        <f>'Merluza sur Artesanal'!AZ52</f>
        <v>-</v>
      </c>
      <c r="O249" s="278">
        <v>43465</v>
      </c>
    </row>
    <row r="250" spans="1:15" x14ac:dyDescent="0.25">
      <c r="A250" s="24" t="s">
        <v>310</v>
      </c>
      <c r="B250" s="24" t="s">
        <v>283</v>
      </c>
      <c r="C250" s="24" t="s">
        <v>311</v>
      </c>
      <c r="D250" s="24" t="s">
        <v>369</v>
      </c>
      <c r="E250" s="24" t="s">
        <v>377</v>
      </c>
      <c r="F250" s="24" t="s">
        <v>286</v>
      </c>
      <c r="G250" s="24" t="s">
        <v>288</v>
      </c>
      <c r="H250" s="2">
        <f>'Merluza sur Artesanal'!BA51</f>
        <v>4.8697642663999998</v>
      </c>
      <c r="I250" s="2">
        <f>'Merluza sur Artesanal'!BB51</f>
        <v>0</v>
      </c>
      <c r="J250" s="2">
        <f>'Merluza sur Artesanal'!BC51</f>
        <v>4.8697642663999998</v>
      </c>
      <c r="K250" s="2">
        <f>'Merluza sur Artesanal'!BD51</f>
        <v>4.8650000000000002</v>
      </c>
      <c r="L250" s="2">
        <f>'Merluza sur Artesanal'!BE51</f>
        <v>4.764266399999606E-3</v>
      </c>
      <c r="M250" s="251">
        <f>'Merluza sur Artesanal'!BF51</f>
        <v>0.99902166385488689</v>
      </c>
      <c r="N250" s="24" t="s">
        <v>410</v>
      </c>
      <c r="O250" s="278">
        <v>43465</v>
      </c>
    </row>
    <row r="251" spans="1:15" x14ac:dyDescent="0.25">
      <c r="A251" s="24" t="s">
        <v>310</v>
      </c>
      <c r="B251" s="24" t="s">
        <v>283</v>
      </c>
      <c r="C251" s="24" t="s">
        <v>311</v>
      </c>
      <c r="D251" s="24" t="s">
        <v>369</v>
      </c>
      <c r="E251" s="24" t="s">
        <v>378</v>
      </c>
      <c r="F251" s="24" t="s">
        <v>286</v>
      </c>
      <c r="G251" s="24" t="s">
        <v>297</v>
      </c>
      <c r="H251" s="2">
        <f>'Merluza sur Artesanal'!AT53</f>
        <v>41.043423580500004</v>
      </c>
      <c r="I251" s="2">
        <f>'Merluza sur Artesanal'!AU53</f>
        <v>-41.042999999999999</v>
      </c>
      <c r="J251" s="2">
        <f>'Merluza sur Artesanal'!AV53</f>
        <v>4.2358050000501635E-4</v>
      </c>
      <c r="K251" s="2">
        <f>'Merluza sur Artesanal'!AW53</f>
        <v>0</v>
      </c>
      <c r="L251" s="2">
        <f>'Merluza sur Artesanal'!AX53</f>
        <v>4.2358050000501635E-4</v>
      </c>
      <c r="M251" s="251">
        <f>'Merluza sur Artesanal'!AY53</f>
        <v>0</v>
      </c>
      <c r="N251" s="261">
        <f>'Merluza sur Artesanal'!AZ53</f>
        <v>43166</v>
      </c>
      <c r="O251" s="278">
        <v>43465</v>
      </c>
    </row>
    <row r="252" spans="1:15" x14ac:dyDescent="0.25">
      <c r="A252" s="24" t="s">
        <v>310</v>
      </c>
      <c r="B252" s="24" t="s">
        <v>283</v>
      </c>
      <c r="C252" s="24" t="s">
        <v>311</v>
      </c>
      <c r="D252" s="24" t="s">
        <v>369</v>
      </c>
      <c r="E252" s="24" t="s">
        <v>378</v>
      </c>
      <c r="F252" s="24" t="s">
        <v>298</v>
      </c>
      <c r="G252" s="24" t="s">
        <v>288</v>
      </c>
      <c r="H252" s="2">
        <f>'Merluza sur Artesanal'!AT54</f>
        <v>23.594613636000002</v>
      </c>
      <c r="I252" s="2">
        <f>'Merluza sur Artesanal'!AU54</f>
        <v>-23.594999999999999</v>
      </c>
      <c r="J252" s="2">
        <f>'Merluza sur Artesanal'!AV54</f>
        <v>3.7216500007986042E-5</v>
      </c>
      <c r="K252" s="2">
        <f>'Merluza sur Artesanal'!AW54</f>
        <v>0</v>
      </c>
      <c r="L252" s="2">
        <f>'Merluza sur Artesanal'!AX54</f>
        <v>3.7216500007986042E-5</v>
      </c>
      <c r="M252" s="251">
        <f>'Merluza sur Artesanal'!AY54</f>
        <v>0</v>
      </c>
      <c r="N252" s="261">
        <f>'Merluza sur Artesanal'!AZ54</f>
        <v>43257</v>
      </c>
      <c r="O252" s="278">
        <v>43465</v>
      </c>
    </row>
    <row r="253" spans="1:15" x14ac:dyDescent="0.25">
      <c r="A253" s="24" t="s">
        <v>310</v>
      </c>
      <c r="B253" s="24" t="s">
        <v>283</v>
      </c>
      <c r="C253" s="24" t="s">
        <v>311</v>
      </c>
      <c r="D253" s="24" t="s">
        <v>369</v>
      </c>
      <c r="E253" s="24" t="s">
        <v>378</v>
      </c>
      <c r="F253" s="24" t="s">
        <v>286</v>
      </c>
      <c r="G253" s="24" t="s">
        <v>288</v>
      </c>
      <c r="H253" s="2">
        <f>'Merluza sur Artesanal'!BA53</f>
        <v>64.63803721650001</v>
      </c>
      <c r="I253" s="2">
        <f>'Merluza sur Artesanal'!BB53</f>
        <v>-64.638000000000005</v>
      </c>
      <c r="J253" s="2">
        <f>'Merluza sur Artesanal'!BC53</f>
        <v>129.27603721650001</v>
      </c>
      <c r="K253" s="2">
        <f>'Merluza sur Artesanal'!BD53</f>
        <v>0</v>
      </c>
      <c r="L253" s="2">
        <f>'Merluza sur Artesanal'!BE53</f>
        <v>129.27603721650001</v>
      </c>
      <c r="M253" s="251">
        <f>'Merluza sur Artesanal'!BF53</f>
        <v>0</v>
      </c>
      <c r="N253" s="24" t="s">
        <v>410</v>
      </c>
      <c r="O253" s="278">
        <v>43465</v>
      </c>
    </row>
    <row r="254" spans="1:15" x14ac:dyDescent="0.25">
      <c r="A254" s="24" t="s">
        <v>310</v>
      </c>
      <c r="B254" s="24" t="s">
        <v>283</v>
      </c>
      <c r="C254" s="24" t="s">
        <v>311</v>
      </c>
      <c r="D254" s="24" t="s">
        <v>369</v>
      </c>
      <c r="E254" s="24" t="s">
        <v>379</v>
      </c>
      <c r="F254" s="24" t="s">
        <v>286</v>
      </c>
      <c r="G254" s="24" t="s">
        <v>297</v>
      </c>
      <c r="H254" s="2">
        <f>'Merluza sur Artesanal'!AT55</f>
        <v>186.21299999999999</v>
      </c>
      <c r="I254" s="2">
        <f>'Merluza sur Artesanal'!AU55</f>
        <v>0</v>
      </c>
      <c r="J254" s="2">
        <f>'Merluza sur Artesanal'!AV55</f>
        <v>186.21299999999999</v>
      </c>
      <c r="K254" s="2">
        <f>'Merluza sur Artesanal'!AW55</f>
        <v>92.281000000000006</v>
      </c>
      <c r="L254" s="2">
        <f>'Merluza sur Artesanal'!AX55</f>
        <v>93.931999999999988</v>
      </c>
      <c r="M254" s="251">
        <f>'Merluza sur Artesanal'!AY55</f>
        <v>0.49556690456627628</v>
      </c>
      <c r="N254" s="261" t="str">
        <f>'Merluza sur Artesanal'!AZ55</f>
        <v>-</v>
      </c>
      <c r="O254" s="278">
        <v>43465</v>
      </c>
    </row>
    <row r="255" spans="1:15" x14ac:dyDescent="0.25">
      <c r="A255" s="24" t="s">
        <v>310</v>
      </c>
      <c r="B255" s="24" t="s">
        <v>283</v>
      </c>
      <c r="C255" s="24" t="s">
        <v>311</v>
      </c>
      <c r="D255" s="24" t="s">
        <v>369</v>
      </c>
      <c r="E255" s="24" t="s">
        <v>379</v>
      </c>
      <c r="F255" s="24" t="s">
        <v>298</v>
      </c>
      <c r="G255" s="24" t="s">
        <v>288</v>
      </c>
      <c r="H255" s="2">
        <f>'Merluza sur Artesanal'!AT56</f>
        <v>1E-3</v>
      </c>
      <c r="I255" s="2">
        <f>'Merluza sur Artesanal'!AU56</f>
        <v>0</v>
      </c>
      <c r="J255" s="2">
        <f>'Merluza sur Artesanal'!AV56</f>
        <v>93.932999999999993</v>
      </c>
      <c r="K255" s="2">
        <f>'Merluza sur Artesanal'!AW56</f>
        <v>88.822000000000003</v>
      </c>
      <c r="L255" s="2">
        <f>'Merluza sur Artesanal'!AX56</f>
        <v>5.11099999999999</v>
      </c>
      <c r="M255" s="251">
        <f>'Merluza sur Artesanal'!AY56</f>
        <v>0.94558887717841456</v>
      </c>
      <c r="N255" s="261" t="str">
        <f>'Merluza sur Artesanal'!AZ56</f>
        <v>-</v>
      </c>
      <c r="O255" s="278">
        <v>43465</v>
      </c>
    </row>
    <row r="256" spans="1:15" x14ac:dyDescent="0.25">
      <c r="A256" s="24" t="s">
        <v>310</v>
      </c>
      <c r="B256" s="24" t="s">
        <v>283</v>
      </c>
      <c r="C256" s="24" t="s">
        <v>311</v>
      </c>
      <c r="D256" s="24" t="s">
        <v>369</v>
      </c>
      <c r="E256" s="24" t="s">
        <v>379</v>
      </c>
      <c r="F256" s="24" t="s">
        <v>286</v>
      </c>
      <c r="G256" s="24" t="s">
        <v>288</v>
      </c>
      <c r="H256" s="2">
        <f>'Merluza sur Artesanal'!BA55</f>
        <v>186.214</v>
      </c>
      <c r="I256" s="2">
        <f>'Merluza sur Artesanal'!BB55</f>
        <v>0</v>
      </c>
      <c r="J256" s="2">
        <f>'Merluza sur Artesanal'!BC55</f>
        <v>186.214</v>
      </c>
      <c r="K256" s="2">
        <f>'Merluza sur Artesanal'!BD55</f>
        <v>181.10300000000001</v>
      </c>
      <c r="L256" s="2">
        <f>'Merluza sur Artesanal'!BE55</f>
        <v>5.11099999999999</v>
      </c>
      <c r="M256" s="251">
        <f>'Merluza sur Artesanal'!BF55</f>
        <v>0.97255308408605157</v>
      </c>
      <c r="N256" s="24" t="s">
        <v>410</v>
      </c>
      <c r="O256" s="278">
        <v>43465</v>
      </c>
    </row>
    <row r="257" spans="1:15" x14ac:dyDescent="0.25">
      <c r="A257" s="24" t="s">
        <v>310</v>
      </c>
      <c r="B257" s="24" t="s">
        <v>283</v>
      </c>
      <c r="C257" s="24" t="s">
        <v>311</v>
      </c>
      <c r="D257" s="24" t="s">
        <v>369</v>
      </c>
      <c r="E257" s="24" t="s">
        <v>380</v>
      </c>
      <c r="F257" s="24" t="s">
        <v>286</v>
      </c>
      <c r="G257" s="24" t="s">
        <v>297</v>
      </c>
      <c r="H257" s="2">
        <f>'Merluza sur Artesanal'!AT57</f>
        <v>130.25795711199999</v>
      </c>
      <c r="I257" s="2">
        <f>'Merluza sur Artesanal'!AU57</f>
        <v>0</v>
      </c>
      <c r="J257" s="2">
        <f>'Merluza sur Artesanal'!AV57</f>
        <v>130.25795711199999</v>
      </c>
      <c r="K257" s="2">
        <f>'Merluza sur Artesanal'!AW57</f>
        <v>89.453000000000003</v>
      </c>
      <c r="L257" s="2">
        <f>'Merluza sur Artesanal'!AX57</f>
        <v>40.804957111999983</v>
      </c>
      <c r="M257" s="251">
        <f>'Merluza sur Artesanal'!AY57</f>
        <v>0.68673731711518726</v>
      </c>
      <c r="N257" s="261" t="str">
        <f>'Merluza sur Artesanal'!AZ57</f>
        <v>-</v>
      </c>
      <c r="O257" s="278">
        <v>43465</v>
      </c>
    </row>
    <row r="258" spans="1:15" x14ac:dyDescent="0.25">
      <c r="A258" s="24" t="s">
        <v>310</v>
      </c>
      <c r="B258" s="24" t="s">
        <v>283</v>
      </c>
      <c r="C258" s="24" t="s">
        <v>311</v>
      </c>
      <c r="D258" s="24" t="s">
        <v>369</v>
      </c>
      <c r="E258" s="24" t="s">
        <v>380</v>
      </c>
      <c r="F258" s="24" t="s">
        <v>298</v>
      </c>
      <c r="G258" s="24" t="s">
        <v>288</v>
      </c>
      <c r="H258" s="2">
        <f>'Merluza sur Artesanal'!AT58</f>
        <v>74.881330624</v>
      </c>
      <c r="I258" s="2">
        <f>'Merluza sur Artesanal'!AU58</f>
        <v>0</v>
      </c>
      <c r="J258" s="2">
        <f>'Merluza sur Artesanal'!AV58</f>
        <v>115.68628773599998</v>
      </c>
      <c r="K258" s="2">
        <f>'Merluza sur Artesanal'!AW58</f>
        <v>108.369</v>
      </c>
      <c r="L258" s="2">
        <f>'Merluza sur Artesanal'!AX58</f>
        <v>7.3172877359999831</v>
      </c>
      <c r="M258" s="251">
        <f>'Merluza sur Artesanal'!AY58</f>
        <v>0.93674887595409506</v>
      </c>
      <c r="N258" s="261" t="str">
        <f>'Merluza sur Artesanal'!AZ58</f>
        <v>-</v>
      </c>
      <c r="O258" s="278">
        <v>43465</v>
      </c>
    </row>
    <row r="259" spans="1:15" x14ac:dyDescent="0.25">
      <c r="A259" s="24" t="s">
        <v>310</v>
      </c>
      <c r="B259" s="24" t="s">
        <v>283</v>
      </c>
      <c r="C259" s="24" t="s">
        <v>311</v>
      </c>
      <c r="D259" s="24" t="s">
        <v>369</v>
      </c>
      <c r="E259" s="24" t="s">
        <v>380</v>
      </c>
      <c r="F259" s="24" t="s">
        <v>286</v>
      </c>
      <c r="G259" s="24" t="s">
        <v>288</v>
      </c>
      <c r="H259" s="2">
        <f>'Merluza sur Artesanal'!BA57</f>
        <v>205.13928773599997</v>
      </c>
      <c r="I259" s="2">
        <f>'Merluza sur Artesanal'!BB57</f>
        <v>0</v>
      </c>
      <c r="J259" s="2">
        <f>'Merluza sur Artesanal'!BC57</f>
        <v>205.13928773599997</v>
      </c>
      <c r="K259" s="2">
        <f>'Merluza sur Artesanal'!BD57</f>
        <v>197.822</v>
      </c>
      <c r="L259" s="2">
        <f>'Merluza sur Artesanal'!BE57</f>
        <v>7.3172877359999688</v>
      </c>
      <c r="M259" s="251">
        <f>'Merluza sur Artesanal'!BF57</f>
        <v>0.96433014944744855</v>
      </c>
      <c r="N259" s="24" t="s">
        <v>410</v>
      </c>
      <c r="O259" s="278">
        <v>43465</v>
      </c>
    </row>
    <row r="260" spans="1:15" x14ac:dyDescent="0.25">
      <c r="A260" s="24" t="s">
        <v>310</v>
      </c>
      <c r="B260" s="24" t="s">
        <v>283</v>
      </c>
      <c r="C260" s="24" t="s">
        <v>311</v>
      </c>
      <c r="D260" s="24" t="s">
        <v>369</v>
      </c>
      <c r="E260" s="24" t="s">
        <v>381</v>
      </c>
      <c r="F260" s="24" t="s">
        <v>286</v>
      </c>
      <c r="G260" s="24" t="s">
        <v>297</v>
      </c>
      <c r="H260" s="2">
        <f>'Merluza sur Artesanal'!AT59</f>
        <v>14.826427018</v>
      </c>
      <c r="I260" s="2">
        <f>'Merluza sur Artesanal'!AU59</f>
        <v>0</v>
      </c>
      <c r="J260" s="2">
        <f>'Merluza sur Artesanal'!AV59</f>
        <v>14.826427018</v>
      </c>
      <c r="K260" s="2">
        <f>'Merluza sur Artesanal'!AW59</f>
        <v>2.3199999999999998</v>
      </c>
      <c r="L260" s="2">
        <f>'Merluza sur Artesanal'!AX59</f>
        <v>12.506427018</v>
      </c>
      <c r="M260" s="251">
        <f>'Merluza sur Artesanal'!AY59</f>
        <v>0.15647734934272481</v>
      </c>
      <c r="N260" s="24" t="str">
        <f>'Merluza sur Artesanal'!AZ59</f>
        <v>-</v>
      </c>
      <c r="O260" s="278">
        <v>43465</v>
      </c>
    </row>
    <row r="261" spans="1:15" x14ac:dyDescent="0.25">
      <c r="A261" s="24" t="s">
        <v>310</v>
      </c>
      <c r="B261" s="24" t="s">
        <v>283</v>
      </c>
      <c r="C261" s="24" t="s">
        <v>311</v>
      </c>
      <c r="D261" s="24" t="s">
        <v>369</v>
      </c>
      <c r="E261" s="24" t="s">
        <v>381</v>
      </c>
      <c r="F261" s="24" t="s">
        <v>298</v>
      </c>
      <c r="G261" s="24" t="s">
        <v>288</v>
      </c>
      <c r="H261" s="2">
        <f>'Merluza sur Artesanal'!AT60</f>
        <v>8.5232611360000003</v>
      </c>
      <c r="I261" s="2">
        <f>'Merluza sur Artesanal'!AU60</f>
        <v>0</v>
      </c>
      <c r="J261" s="2">
        <f>'Merluza sur Artesanal'!AV60</f>
        <v>21.029688153999999</v>
      </c>
      <c r="K261" s="2">
        <f>'Merluza sur Artesanal'!AW60</f>
        <v>20.239000000000001</v>
      </c>
      <c r="L261" s="2">
        <f>'Merluza sur Artesanal'!AX60</f>
        <v>0.79068815399999792</v>
      </c>
      <c r="M261" s="251">
        <f>'Merluza sur Artesanal'!AY60</f>
        <v>0.96240133718532561</v>
      </c>
      <c r="N261" s="24" t="str">
        <f>'Merluza sur Artesanal'!AZ60</f>
        <v>-</v>
      </c>
      <c r="O261" s="278">
        <v>43465</v>
      </c>
    </row>
    <row r="262" spans="1:15" x14ac:dyDescent="0.25">
      <c r="A262" s="24" t="s">
        <v>310</v>
      </c>
      <c r="B262" s="24" t="s">
        <v>283</v>
      </c>
      <c r="C262" s="24" t="s">
        <v>311</v>
      </c>
      <c r="D262" s="24" t="s">
        <v>369</v>
      </c>
      <c r="E262" s="24" t="s">
        <v>381</v>
      </c>
      <c r="F262" s="24" t="s">
        <v>286</v>
      </c>
      <c r="G262" s="24" t="s">
        <v>288</v>
      </c>
      <c r="H262" s="2">
        <f>'Merluza sur Artesanal'!BA59</f>
        <v>23.349688153999999</v>
      </c>
      <c r="I262" s="2">
        <f>'Merluza sur Artesanal'!BB59</f>
        <v>0</v>
      </c>
      <c r="J262" s="2">
        <f>'Merluza sur Artesanal'!BC59</f>
        <v>23.349688153999999</v>
      </c>
      <c r="K262" s="2">
        <f>'Merluza sur Artesanal'!BD59</f>
        <v>22.559000000000001</v>
      </c>
      <c r="L262" s="2">
        <f>'Merluza sur Artesanal'!BE59</f>
        <v>0.79068815399999792</v>
      </c>
      <c r="M262" s="251">
        <f>'Merluza sur Artesanal'!BF59</f>
        <v>0.96613710004240261</v>
      </c>
      <c r="N262" s="24" t="s">
        <v>410</v>
      </c>
      <c r="O262" s="278">
        <v>43465</v>
      </c>
    </row>
    <row r="263" spans="1:15" x14ac:dyDescent="0.25">
      <c r="A263" s="24" t="s">
        <v>310</v>
      </c>
      <c r="B263" s="24" t="s">
        <v>283</v>
      </c>
      <c r="C263" s="24" t="s">
        <v>311</v>
      </c>
      <c r="D263" s="24" t="s">
        <v>369</v>
      </c>
      <c r="E263" s="24" t="s">
        <v>382</v>
      </c>
      <c r="F263" s="24" t="s">
        <v>286</v>
      </c>
      <c r="G263" s="24" t="s">
        <v>297</v>
      </c>
      <c r="H263" s="2">
        <f>'Merluza sur Artesanal'!AT61</f>
        <v>4.1556635592000006</v>
      </c>
      <c r="I263" s="2">
        <f>'Merluza sur Artesanal'!AU61</f>
        <v>0</v>
      </c>
      <c r="J263" s="2">
        <f>'Merluza sur Artesanal'!AV61</f>
        <v>4.1556635592000006</v>
      </c>
      <c r="K263" s="2">
        <f>'Merluza sur Artesanal'!AW61</f>
        <v>0</v>
      </c>
      <c r="L263" s="2">
        <f>'Merluza sur Artesanal'!AX61</f>
        <v>4.1556635592000006</v>
      </c>
      <c r="M263" s="251">
        <f>'Merluza sur Artesanal'!AY61</f>
        <v>0</v>
      </c>
      <c r="N263" s="261" t="str">
        <f>'Merluza sur Artesanal'!AZ61</f>
        <v>-</v>
      </c>
      <c r="O263" s="278">
        <v>43465</v>
      </c>
    </row>
    <row r="264" spans="1:15" x14ac:dyDescent="0.25">
      <c r="A264" s="24" t="s">
        <v>310</v>
      </c>
      <c r="B264" s="24" t="s">
        <v>283</v>
      </c>
      <c r="C264" s="24" t="s">
        <v>311</v>
      </c>
      <c r="D264" s="24" t="s">
        <v>369</v>
      </c>
      <c r="E264" s="24" t="s">
        <v>382</v>
      </c>
      <c r="F264" s="24" t="s">
        <v>298</v>
      </c>
      <c r="G264" s="24" t="s">
        <v>288</v>
      </c>
      <c r="H264" s="2">
        <f>'Merluza sur Artesanal'!AT62</f>
        <v>2.3889643584</v>
      </c>
      <c r="I264" s="2">
        <f>'Merluza sur Artesanal'!AU62</f>
        <v>0</v>
      </c>
      <c r="J264" s="2">
        <f>'Merluza sur Artesanal'!AV62</f>
        <v>6.5446279176000006</v>
      </c>
      <c r="K264" s="2">
        <f>'Merluza sur Artesanal'!AW62</f>
        <v>5.2069999999999999</v>
      </c>
      <c r="L264" s="2">
        <f>'Merluza sur Artesanal'!AX62</f>
        <v>1.3376279176000008</v>
      </c>
      <c r="M264" s="251">
        <f>'Merluza sur Artesanal'!AY62</f>
        <v>0.79561436731906277</v>
      </c>
      <c r="N264" s="261" t="str">
        <f>'Merluza sur Artesanal'!AZ62</f>
        <v>-</v>
      </c>
      <c r="O264" s="278">
        <v>43465</v>
      </c>
    </row>
    <row r="265" spans="1:15" x14ac:dyDescent="0.25">
      <c r="A265" s="24" t="s">
        <v>310</v>
      </c>
      <c r="B265" s="24" t="s">
        <v>283</v>
      </c>
      <c r="C265" s="24" t="s">
        <v>311</v>
      </c>
      <c r="D265" s="24" t="s">
        <v>369</v>
      </c>
      <c r="E265" s="24" t="s">
        <v>382</v>
      </c>
      <c r="F265" s="24" t="s">
        <v>286</v>
      </c>
      <c r="G265" s="24" t="s">
        <v>288</v>
      </c>
      <c r="H265" s="2">
        <f>'Merluza sur Artesanal'!BA61</f>
        <v>6.5446279176000006</v>
      </c>
      <c r="I265" s="2">
        <f>'Merluza sur Artesanal'!BB61</f>
        <v>0</v>
      </c>
      <c r="J265" s="2">
        <f>'Merluza sur Artesanal'!BC61</f>
        <v>6.5446279176000006</v>
      </c>
      <c r="K265" s="2">
        <f>'Merluza sur Artesanal'!BD61</f>
        <v>5.2069999999999999</v>
      </c>
      <c r="L265" s="2">
        <f>'Merluza sur Artesanal'!BE61</f>
        <v>1.3376279176000008</v>
      </c>
      <c r="M265" s="251">
        <f>'Merluza sur Artesanal'!BF61</f>
        <v>0.79561436731906277</v>
      </c>
      <c r="N265" s="24" t="s">
        <v>410</v>
      </c>
      <c r="O265" s="278">
        <v>43465</v>
      </c>
    </row>
    <row r="266" spans="1:15" x14ac:dyDescent="0.25">
      <c r="A266" s="24" t="s">
        <v>310</v>
      </c>
      <c r="B266" s="24" t="s">
        <v>283</v>
      </c>
      <c r="C266" s="24" t="s">
        <v>311</v>
      </c>
      <c r="D266" s="24" t="s">
        <v>369</v>
      </c>
      <c r="E266" s="24" t="s">
        <v>383</v>
      </c>
      <c r="F266" s="24" t="s">
        <v>286</v>
      </c>
      <c r="G266" s="24" t="s">
        <v>297</v>
      </c>
      <c r="H266" s="2">
        <f>'Merluza sur Artesanal'!AT63</f>
        <v>36.153942807900002</v>
      </c>
      <c r="I266" s="2">
        <f>'Merluza sur Artesanal'!AU63</f>
        <v>0</v>
      </c>
      <c r="J266" s="2">
        <f>'Merluza sur Artesanal'!AV63</f>
        <v>36.153942807900002</v>
      </c>
      <c r="K266" s="2">
        <f>'Merluza sur Artesanal'!AW63</f>
        <v>27.741</v>
      </c>
      <c r="L266" s="2">
        <f>'Merluza sur Artesanal'!AX63</f>
        <v>8.4129428079000022</v>
      </c>
      <c r="M266" s="251">
        <f>'Merluza sur Artesanal'!AY63</f>
        <v>0.76730220400576366</v>
      </c>
      <c r="N266" s="261" t="str">
        <f>'Merluza sur Artesanal'!AZ63</f>
        <v>-</v>
      </c>
      <c r="O266" s="278">
        <v>43465</v>
      </c>
    </row>
    <row r="267" spans="1:15" x14ac:dyDescent="0.25">
      <c r="A267" s="24" t="s">
        <v>310</v>
      </c>
      <c r="B267" s="24" t="s">
        <v>283</v>
      </c>
      <c r="C267" s="24" t="s">
        <v>311</v>
      </c>
      <c r="D267" s="24" t="s">
        <v>369</v>
      </c>
      <c r="E267" s="24" t="s">
        <v>383</v>
      </c>
      <c r="F267" s="24" t="s">
        <v>298</v>
      </c>
      <c r="G267" s="24" t="s">
        <v>288</v>
      </c>
      <c r="H267" s="2">
        <f>'Merluza sur Artesanal'!AT64</f>
        <v>20.783800120800002</v>
      </c>
      <c r="I267" s="2">
        <f>'Merluza sur Artesanal'!AU64</f>
        <v>0</v>
      </c>
      <c r="J267" s="2">
        <f>'Merluza sur Artesanal'!AV64</f>
        <v>29.196742928700004</v>
      </c>
      <c r="K267" s="2">
        <f>'Merluza sur Artesanal'!AW64</f>
        <v>29.042000000000002</v>
      </c>
      <c r="L267" s="2">
        <f>'Merluza sur Artesanal'!AX64</f>
        <v>0.15474292870000284</v>
      </c>
      <c r="M267" s="251">
        <f>'Merluza sur Artesanal'!AY64</f>
        <v>0.99469999345208149</v>
      </c>
      <c r="N267" s="261" t="str">
        <f>'Merluza sur Artesanal'!AZ64</f>
        <v>-</v>
      </c>
      <c r="O267" s="278">
        <v>43465</v>
      </c>
    </row>
    <row r="268" spans="1:15" x14ac:dyDescent="0.25">
      <c r="A268" s="24" t="s">
        <v>310</v>
      </c>
      <c r="B268" s="24" t="s">
        <v>283</v>
      </c>
      <c r="C268" s="24" t="s">
        <v>311</v>
      </c>
      <c r="D268" s="24" t="s">
        <v>369</v>
      </c>
      <c r="E268" s="24" t="s">
        <v>383</v>
      </c>
      <c r="F268" s="24" t="s">
        <v>286</v>
      </c>
      <c r="G268" s="24" t="s">
        <v>288</v>
      </c>
      <c r="H268" s="2">
        <f>'Merluza sur Artesanal'!BA63</f>
        <v>56.937742928700004</v>
      </c>
      <c r="I268" s="2">
        <f>'Merluza sur Artesanal'!BB63</f>
        <v>0</v>
      </c>
      <c r="J268" s="2">
        <f>'Merluza sur Artesanal'!BC63</f>
        <v>56.937742928700004</v>
      </c>
      <c r="K268" s="2">
        <f>'Merluza sur Artesanal'!BD63</f>
        <v>56.783000000000001</v>
      </c>
      <c r="L268" s="2">
        <f>'Merluza sur Artesanal'!BE63</f>
        <v>0.15474292870000284</v>
      </c>
      <c r="M268" s="251">
        <f>'Merluza sur Artesanal'!BF63</f>
        <v>0.9972822433637073</v>
      </c>
      <c r="N268" s="24" t="s">
        <v>410</v>
      </c>
      <c r="O268" s="278">
        <v>43465</v>
      </c>
    </row>
    <row r="269" spans="1:15" x14ac:dyDescent="0.25">
      <c r="A269" s="24" t="s">
        <v>310</v>
      </c>
      <c r="B269" s="24" t="s">
        <v>283</v>
      </c>
      <c r="C269" s="24" t="s">
        <v>311</v>
      </c>
      <c r="D269" s="24" t="s">
        <v>369</v>
      </c>
      <c r="E269" s="24" t="s">
        <v>384</v>
      </c>
      <c r="F269" s="24" t="s">
        <v>286</v>
      </c>
      <c r="G269" s="24" t="s">
        <v>297</v>
      </c>
      <c r="H269" s="2">
        <f>'Merluza sur Artesanal'!AT65</f>
        <v>8.7462522309999997</v>
      </c>
      <c r="I269" s="2">
        <f>'Merluza sur Artesanal'!AU65</f>
        <v>0</v>
      </c>
      <c r="J269" s="2">
        <f>'Merluza sur Artesanal'!AV65</f>
        <v>8.7462522309999997</v>
      </c>
      <c r="K269" s="2">
        <f>'Merluza sur Artesanal'!AW65</f>
        <v>4.9619999999999997</v>
      </c>
      <c r="L269" s="2">
        <f>'Merluza sur Artesanal'!AX65</f>
        <v>3.784252231</v>
      </c>
      <c r="M269" s="251">
        <f>'Merluza sur Artesanal'!AY65</f>
        <v>0.56732871050903488</v>
      </c>
      <c r="N269" s="261" t="str">
        <f>'Merluza sur Artesanal'!AZ65</f>
        <v>-</v>
      </c>
      <c r="O269" s="278">
        <v>43465</v>
      </c>
    </row>
    <row r="270" spans="1:15" x14ac:dyDescent="0.25">
      <c r="A270" s="24" t="s">
        <v>310</v>
      </c>
      <c r="B270" s="24" t="s">
        <v>283</v>
      </c>
      <c r="C270" s="24" t="s">
        <v>311</v>
      </c>
      <c r="D270" s="24" t="s">
        <v>369</v>
      </c>
      <c r="E270" s="24" t="s">
        <v>384</v>
      </c>
      <c r="F270" s="24" t="s">
        <v>298</v>
      </c>
      <c r="G270" s="24" t="s">
        <v>288</v>
      </c>
      <c r="H270" s="2">
        <f>'Merluza sur Artesanal'!AT66</f>
        <v>5.0279539120000001</v>
      </c>
      <c r="I270" s="2">
        <f>'Merluza sur Artesanal'!AU66</f>
        <v>0</v>
      </c>
      <c r="J270" s="2">
        <f>'Merluza sur Artesanal'!AV66</f>
        <v>8.8122061430000009</v>
      </c>
      <c r="K270" s="2">
        <f>'Merluza sur Artesanal'!AW66</f>
        <v>8.68</v>
      </c>
      <c r="L270" s="2">
        <f>'Merluza sur Artesanal'!AX66</f>
        <v>0.13220614300000122</v>
      </c>
      <c r="M270" s="251">
        <f>'Merluza sur Artesanal'!AY66</f>
        <v>0.98499738421291705</v>
      </c>
      <c r="N270" s="261" t="str">
        <f>'Merluza sur Artesanal'!AZ66</f>
        <v>-</v>
      </c>
      <c r="O270" s="278">
        <v>43465</v>
      </c>
    </row>
    <row r="271" spans="1:15" x14ac:dyDescent="0.25">
      <c r="A271" s="24" t="s">
        <v>310</v>
      </c>
      <c r="B271" s="24" t="s">
        <v>283</v>
      </c>
      <c r="C271" s="24" t="s">
        <v>311</v>
      </c>
      <c r="D271" s="24" t="s">
        <v>369</v>
      </c>
      <c r="E271" s="24" t="s">
        <v>384</v>
      </c>
      <c r="F271" s="24" t="s">
        <v>286</v>
      </c>
      <c r="G271" s="24" t="s">
        <v>288</v>
      </c>
      <c r="H271" s="2">
        <f>'Merluza sur Artesanal'!BA65</f>
        <v>13.774206143000001</v>
      </c>
      <c r="I271" s="2">
        <f>'Merluza sur Artesanal'!BB65</f>
        <v>0</v>
      </c>
      <c r="J271" s="2">
        <f>'Merluza sur Artesanal'!BC65</f>
        <v>13.774206143000001</v>
      </c>
      <c r="K271" s="2">
        <f>'Merluza sur Artesanal'!BD65</f>
        <v>13.641999999999999</v>
      </c>
      <c r="L271" s="2">
        <f>'Merluza sur Artesanal'!BE65</f>
        <v>0.13220614300000122</v>
      </c>
      <c r="M271" s="251">
        <f>'Merluza sur Artesanal'!BF65</f>
        <v>0.99040190471759504</v>
      </c>
      <c r="N271" s="24" t="s">
        <v>410</v>
      </c>
      <c r="O271" s="278">
        <v>43465</v>
      </c>
    </row>
    <row r="272" spans="1:15" x14ac:dyDescent="0.25">
      <c r="A272" s="24" t="s">
        <v>310</v>
      </c>
      <c r="B272" s="24" t="s">
        <v>283</v>
      </c>
      <c r="C272" s="24" t="s">
        <v>311</v>
      </c>
      <c r="D272" s="24" t="s">
        <v>369</v>
      </c>
      <c r="E272" s="24" t="s">
        <v>346</v>
      </c>
      <c r="F272" s="24" t="s">
        <v>286</v>
      </c>
      <c r="G272" s="24" t="s">
        <v>297</v>
      </c>
      <c r="H272" s="2">
        <f>'Merluza sur Artesanal'!AT67</f>
        <v>29.996835976900002</v>
      </c>
      <c r="I272" s="2">
        <f>'Merluza sur Artesanal'!AU67</f>
        <v>0</v>
      </c>
      <c r="J272" s="2">
        <f>'Merluza sur Artesanal'!AV67</f>
        <v>29.996835976900002</v>
      </c>
      <c r="K272" s="2">
        <f>'Merluza sur Artesanal'!AW67</f>
        <v>13.753</v>
      </c>
      <c r="L272" s="2">
        <f>'Merluza sur Artesanal'!AX67</f>
        <v>16.243835976900002</v>
      </c>
      <c r="M272" s="251">
        <f>'Merluza sur Artesanal'!AY67</f>
        <v>0.45848168822174867</v>
      </c>
      <c r="N272" s="261" t="str">
        <f>'Merluza sur Artesanal'!AZ67</f>
        <v>-</v>
      </c>
      <c r="O272" s="278">
        <v>43465</v>
      </c>
    </row>
    <row r="273" spans="1:15" x14ac:dyDescent="0.25">
      <c r="A273" s="24" t="s">
        <v>310</v>
      </c>
      <c r="B273" s="24" t="s">
        <v>283</v>
      </c>
      <c r="C273" s="24" t="s">
        <v>311</v>
      </c>
      <c r="D273" s="24" t="s">
        <v>369</v>
      </c>
      <c r="E273" s="24" t="s">
        <v>346</v>
      </c>
      <c r="F273" s="24" t="s">
        <v>298</v>
      </c>
      <c r="G273" s="24" t="s">
        <v>288</v>
      </c>
      <c r="H273" s="2">
        <f>'Merluza sur Artesanal'!AT68</f>
        <v>17.244267008800001</v>
      </c>
      <c r="I273" s="2">
        <f>'Merluza sur Artesanal'!AU68</f>
        <v>0</v>
      </c>
      <c r="J273" s="2">
        <f>'Merluza sur Artesanal'!AV68</f>
        <v>33.488102985700003</v>
      </c>
      <c r="K273" s="2">
        <f>'Merluza sur Artesanal'!AW68</f>
        <v>19.957999999999998</v>
      </c>
      <c r="L273" s="2">
        <f>'Merluza sur Artesanal'!AX68</f>
        <v>13.530102985700005</v>
      </c>
      <c r="M273" s="251">
        <f>'Merluza sur Artesanal'!AY68</f>
        <v>0.59597284470017331</v>
      </c>
      <c r="N273" s="261" t="str">
        <f>'Merluza sur Artesanal'!AZ68</f>
        <v>-</v>
      </c>
      <c r="O273" s="278">
        <v>43465</v>
      </c>
    </row>
    <row r="274" spans="1:15" x14ac:dyDescent="0.25">
      <c r="A274" s="24" t="s">
        <v>310</v>
      </c>
      <c r="B274" s="24" t="s">
        <v>283</v>
      </c>
      <c r="C274" s="24" t="s">
        <v>311</v>
      </c>
      <c r="D274" s="24" t="s">
        <v>369</v>
      </c>
      <c r="E274" s="24" t="s">
        <v>346</v>
      </c>
      <c r="F274" s="24" t="s">
        <v>286</v>
      </c>
      <c r="G274" s="24" t="s">
        <v>288</v>
      </c>
      <c r="H274" s="2">
        <f>'Merluza sur Artesanal'!BA67</f>
        <v>47.241102985700003</v>
      </c>
      <c r="I274" s="2">
        <f>'Merluza sur Artesanal'!BB67</f>
        <v>0</v>
      </c>
      <c r="J274" s="2">
        <f>'Merluza sur Artesanal'!BC67</f>
        <v>47.241102985700003</v>
      </c>
      <c r="K274" s="2">
        <f>'Merluza sur Artesanal'!BD67</f>
        <v>33.710999999999999</v>
      </c>
      <c r="L274" s="2">
        <f>'Merluza sur Artesanal'!BE67</f>
        <v>13.530102985700005</v>
      </c>
      <c r="M274" s="251">
        <f>'Merluza sur Artesanal'!BF67</f>
        <v>0.71359468491250932</v>
      </c>
      <c r="N274" s="24" t="s">
        <v>410</v>
      </c>
      <c r="O274" s="278">
        <v>43465</v>
      </c>
    </row>
    <row r="275" spans="1:15" x14ac:dyDescent="0.25">
      <c r="A275" s="24" t="s">
        <v>310</v>
      </c>
      <c r="B275" s="24" t="s">
        <v>283</v>
      </c>
      <c r="C275" s="24" t="s">
        <v>311</v>
      </c>
      <c r="D275" s="24" t="s">
        <v>385</v>
      </c>
      <c r="E275" s="24" t="s">
        <v>386</v>
      </c>
      <c r="F275" s="24" t="s">
        <v>286</v>
      </c>
      <c r="G275" s="24" t="s">
        <v>297</v>
      </c>
      <c r="H275" s="2">
        <f>'Merluza sur Artesanal'!BN37</f>
        <v>5.1256699196</v>
      </c>
      <c r="I275" s="2">
        <f>'Merluza sur Artesanal'!BO37</f>
        <v>0</v>
      </c>
      <c r="J275" s="2">
        <f>'Merluza sur Artesanal'!BP37</f>
        <v>5.1256699196</v>
      </c>
      <c r="K275" s="2">
        <f>'Merluza sur Artesanal'!BQ37</f>
        <v>0.89200000000000002</v>
      </c>
      <c r="L275" s="2">
        <f>'Merluza sur Artesanal'!BR37</f>
        <v>4.2336699195999996</v>
      </c>
      <c r="M275" s="251">
        <f>'Merluza sur Artesanal'!BS37</f>
        <v>0.17402603249754531</v>
      </c>
      <c r="N275" s="261" t="str">
        <f>'Merluza sur Artesanal'!BT37</f>
        <v>-</v>
      </c>
      <c r="O275" s="278">
        <v>43465</v>
      </c>
    </row>
    <row r="276" spans="1:15" x14ac:dyDescent="0.25">
      <c r="A276" s="24" t="s">
        <v>310</v>
      </c>
      <c r="B276" s="24" t="s">
        <v>283</v>
      </c>
      <c r="C276" s="24" t="s">
        <v>311</v>
      </c>
      <c r="D276" s="24" t="s">
        <v>385</v>
      </c>
      <c r="E276" s="24" t="s">
        <v>386</v>
      </c>
      <c r="F276" s="24" t="s">
        <v>298</v>
      </c>
      <c r="G276" s="24" t="s">
        <v>288</v>
      </c>
      <c r="H276" s="2">
        <f>'Merluza sur Artesanal'!BN38</f>
        <v>2.9465914592</v>
      </c>
      <c r="I276" s="2">
        <f>'Merluza sur Artesanal'!BO38</f>
        <v>0</v>
      </c>
      <c r="J276" s="2">
        <f>'Merluza sur Artesanal'!BP38</f>
        <v>7.1802613787999992</v>
      </c>
      <c r="K276" s="2">
        <f>'Merluza sur Artesanal'!BQ38</f>
        <v>7.1420000000000003</v>
      </c>
      <c r="L276" s="2">
        <f>'Merluza sur Artesanal'!BR38</f>
        <v>3.8261378799998802E-2</v>
      </c>
      <c r="M276" s="251">
        <f>'Merluza sur Artesanal'!BS38</f>
        <v>0.99467131114293872</v>
      </c>
      <c r="N276" s="261" t="str">
        <f>'Merluza sur Artesanal'!BT38</f>
        <v>-</v>
      </c>
      <c r="O276" s="278">
        <v>43465</v>
      </c>
    </row>
    <row r="277" spans="1:15" x14ac:dyDescent="0.25">
      <c r="A277" s="24" t="s">
        <v>310</v>
      </c>
      <c r="B277" s="24" t="s">
        <v>283</v>
      </c>
      <c r="C277" s="24" t="s">
        <v>311</v>
      </c>
      <c r="D277" s="24" t="s">
        <v>385</v>
      </c>
      <c r="E277" s="24" t="s">
        <v>386</v>
      </c>
      <c r="F277" s="24" t="s">
        <v>286</v>
      </c>
      <c r="G277" s="24" t="s">
        <v>288</v>
      </c>
      <c r="H277" s="2">
        <f>'Merluza sur Artesanal'!BU37</f>
        <v>8.0722613788000004</v>
      </c>
      <c r="I277" s="2">
        <f>'Merluza sur Artesanal'!BV37</f>
        <v>0</v>
      </c>
      <c r="J277" s="2">
        <f>'Merluza sur Artesanal'!BW37</f>
        <v>8.0722613788000004</v>
      </c>
      <c r="K277" s="2">
        <f>'Merluza sur Artesanal'!BX37</f>
        <v>8.0340000000000007</v>
      </c>
      <c r="L277" s="2">
        <f>'Merluza sur Artesanal'!BY37</f>
        <v>3.826137879999969E-2</v>
      </c>
      <c r="M277" s="251">
        <f>'Merluza sur Artesanal'!BZ37</f>
        <v>0.99526014124115403</v>
      </c>
      <c r="N277" s="24" t="s">
        <v>410</v>
      </c>
      <c r="O277" s="278">
        <v>43465</v>
      </c>
    </row>
    <row r="278" spans="1:15" x14ac:dyDescent="0.25">
      <c r="A278" s="24" t="s">
        <v>310</v>
      </c>
      <c r="B278" s="24" t="s">
        <v>283</v>
      </c>
      <c r="C278" s="24" t="s">
        <v>311</v>
      </c>
      <c r="D278" s="24" t="s">
        <v>385</v>
      </c>
      <c r="E278" s="24" t="s">
        <v>389</v>
      </c>
      <c r="F278" s="24" t="s">
        <v>286</v>
      </c>
      <c r="G278" s="24" t="s">
        <v>297</v>
      </c>
      <c r="H278" s="2">
        <f>'Merluza sur Artesanal'!BN39</f>
        <v>50.4464628355</v>
      </c>
      <c r="I278" s="2">
        <f>'Merluza sur Artesanal'!BO39</f>
        <v>-47.945999999999998</v>
      </c>
      <c r="J278" s="2">
        <f>'Merluza sur Artesanal'!BP39</f>
        <v>2.5004628355000023</v>
      </c>
      <c r="K278" s="2">
        <f>'Merluza sur Artesanal'!BQ39</f>
        <v>6.6829999999999998</v>
      </c>
      <c r="L278" s="2">
        <f>'Merluza sur Artesanal'!BR39</f>
        <v>-4.1825371644999976</v>
      </c>
      <c r="M278" s="251">
        <f>'Merluza sur Artesanal'!BS39</f>
        <v>2.6727051908626511</v>
      </c>
      <c r="N278" s="261">
        <f>'Merluza sur Artesanal'!BT39</f>
        <v>43167</v>
      </c>
      <c r="O278" s="278">
        <v>43465</v>
      </c>
    </row>
    <row r="279" spans="1:15" x14ac:dyDescent="0.25">
      <c r="A279" s="24" t="s">
        <v>310</v>
      </c>
      <c r="B279" s="24" t="s">
        <v>283</v>
      </c>
      <c r="C279" s="24" t="s">
        <v>311</v>
      </c>
      <c r="D279" s="24" t="s">
        <v>385</v>
      </c>
      <c r="E279" s="24" t="s">
        <v>389</v>
      </c>
      <c r="F279" s="24" t="s">
        <v>298</v>
      </c>
      <c r="G279" s="24" t="s">
        <v>288</v>
      </c>
      <c r="H279" s="2">
        <f>'Merluza sur Artesanal'!BN40</f>
        <v>29.000134396</v>
      </c>
      <c r="I279" s="2">
        <f>'Merluza sur Artesanal'!BO40</f>
        <v>-9.9169999999999998</v>
      </c>
      <c r="J279" s="2">
        <f>'Merluza sur Artesanal'!BP40</f>
        <v>14.900597231500001</v>
      </c>
      <c r="K279" s="2">
        <f>'Merluza sur Artesanal'!BQ40</f>
        <v>14.282999999999999</v>
      </c>
      <c r="L279" s="2">
        <f>'Merluza sur Artesanal'!BR40</f>
        <v>0.61759723150000134</v>
      </c>
      <c r="M279" s="251">
        <f>'Merluza sur Artesanal'!BS40</f>
        <v>0.95855218271423415</v>
      </c>
      <c r="N279" s="261" t="str">
        <f>'Merluza sur Artesanal'!BT40</f>
        <v>-</v>
      </c>
      <c r="O279" s="278">
        <v>43465</v>
      </c>
    </row>
    <row r="280" spans="1:15" x14ac:dyDescent="0.25">
      <c r="A280" s="24" t="s">
        <v>310</v>
      </c>
      <c r="B280" s="24" t="s">
        <v>283</v>
      </c>
      <c r="C280" s="24" t="s">
        <v>311</v>
      </c>
      <c r="D280" s="24" t="s">
        <v>385</v>
      </c>
      <c r="E280" s="24" t="s">
        <v>389</v>
      </c>
      <c r="F280" s="24" t="s">
        <v>286</v>
      </c>
      <c r="G280" s="24" t="s">
        <v>288</v>
      </c>
      <c r="H280" s="2">
        <f>'Merluza sur Artesanal'!BU39</f>
        <v>79.446597231499993</v>
      </c>
      <c r="I280" s="2">
        <f>'Merluza sur Artesanal'!BV39</f>
        <v>-57.863</v>
      </c>
      <c r="J280" s="2">
        <f>'Merluza sur Artesanal'!BW39</f>
        <v>21.583597231499994</v>
      </c>
      <c r="K280" s="2">
        <f>'Merluza sur Artesanal'!BX39</f>
        <v>20.966000000000001</v>
      </c>
      <c r="L280" s="2">
        <f>'Merluza sur Artesanal'!BY39</f>
        <v>0.61759723149999246</v>
      </c>
      <c r="M280" s="251">
        <f>'Merluza sur Artesanal'!BZ39</f>
        <v>0.97138580631968774</v>
      </c>
      <c r="N280" s="24" t="s">
        <v>410</v>
      </c>
      <c r="O280" s="278">
        <v>43465</v>
      </c>
    </row>
    <row r="281" spans="1:15" x14ac:dyDescent="0.25">
      <c r="A281" s="24" t="s">
        <v>310</v>
      </c>
      <c r="B281" s="24" t="s">
        <v>283</v>
      </c>
      <c r="C281" s="24" t="s">
        <v>311</v>
      </c>
      <c r="D281" s="24" t="s">
        <v>385</v>
      </c>
      <c r="E281" s="24" t="s">
        <v>390</v>
      </c>
      <c r="F281" s="24" t="s">
        <v>286</v>
      </c>
      <c r="G281" s="24" t="s">
        <v>297</v>
      </c>
      <c r="H281" s="2">
        <f>'Merluza sur Artesanal'!BN41</f>
        <v>49.135619421700007</v>
      </c>
      <c r="I281" s="2">
        <f>'Merluza sur Artesanal'!BO41</f>
        <v>-49.136000000000003</v>
      </c>
      <c r="J281" s="2">
        <f>'Merluza sur Artesanal'!BP41</f>
        <v>-3.8057829999615933E-4</v>
      </c>
      <c r="K281" s="2">
        <f>'Merluza sur Artesanal'!BQ41</f>
        <v>0</v>
      </c>
      <c r="L281" s="2">
        <f>'Merluza sur Artesanal'!BR41</f>
        <v>-3.8057829999615933E-4</v>
      </c>
      <c r="M281" s="251">
        <f>'Merluza sur Artesanal'!BS41</f>
        <v>0</v>
      </c>
      <c r="N281" s="261">
        <f>'Merluza sur Artesanal'!BT41</f>
        <v>43166</v>
      </c>
      <c r="O281" s="278">
        <v>43465</v>
      </c>
    </row>
    <row r="282" spans="1:15" x14ac:dyDescent="0.25">
      <c r="A282" s="24" t="s">
        <v>310</v>
      </c>
      <c r="B282" s="24" t="s">
        <v>283</v>
      </c>
      <c r="C282" s="24" t="s">
        <v>311</v>
      </c>
      <c r="D282" s="24" t="s">
        <v>385</v>
      </c>
      <c r="E282" s="24" t="s">
        <v>390</v>
      </c>
      <c r="F282" s="24" t="s">
        <v>298</v>
      </c>
      <c r="G282" s="24" t="s">
        <v>288</v>
      </c>
      <c r="H282" s="2">
        <f>'Merluza sur Artesanal'!BN42</f>
        <v>28.246570458400001</v>
      </c>
      <c r="I282" s="2">
        <f>'Merluza sur Artesanal'!BO42</f>
        <v>-24.45</v>
      </c>
      <c r="J282" s="2">
        <f>'Merluza sur Artesanal'!BP42</f>
        <v>3.7961898801000054</v>
      </c>
      <c r="K282" s="2">
        <f>'Merluza sur Artesanal'!BQ42</f>
        <v>1.5780000000000001</v>
      </c>
      <c r="L282" s="2">
        <f>'Merluza sur Artesanal'!BR42</f>
        <v>2.2181898801000051</v>
      </c>
      <c r="M282" s="251">
        <f>'Merluza sur Artesanal'!BS42</f>
        <v>0.41567994484997411</v>
      </c>
      <c r="N282" s="261" t="str">
        <f>'Merluza sur Artesanal'!BT42</f>
        <v>-</v>
      </c>
      <c r="O282" s="278">
        <v>43465</v>
      </c>
    </row>
    <row r="283" spans="1:15" x14ac:dyDescent="0.25">
      <c r="A283" s="24" t="s">
        <v>310</v>
      </c>
      <c r="B283" s="24" t="s">
        <v>283</v>
      </c>
      <c r="C283" s="24" t="s">
        <v>311</v>
      </c>
      <c r="D283" s="24" t="s">
        <v>385</v>
      </c>
      <c r="E283" s="24" t="s">
        <v>390</v>
      </c>
      <c r="F283" s="24" t="s">
        <v>286</v>
      </c>
      <c r="G283" s="24" t="s">
        <v>288</v>
      </c>
      <c r="H283" s="2">
        <f>'Merluza sur Artesanal'!BU41</f>
        <v>77.382189880100015</v>
      </c>
      <c r="I283" s="2">
        <f>'Merluza sur Artesanal'!BV41</f>
        <v>-73.585999999999999</v>
      </c>
      <c r="J283" s="2">
        <f>'Merluza sur Artesanal'!BW41</f>
        <v>3.796189880100016</v>
      </c>
      <c r="K283" s="2">
        <f>'Merluza sur Artesanal'!BX41</f>
        <v>1.5780000000000001</v>
      </c>
      <c r="L283" s="2">
        <f>'Merluza sur Artesanal'!BY41</f>
        <v>2.2181898801000157</v>
      </c>
      <c r="M283" s="251">
        <f>'Merluza sur Artesanal'!BZ41</f>
        <v>0.41567994484997295</v>
      </c>
      <c r="N283" s="24" t="s">
        <v>410</v>
      </c>
      <c r="O283" s="278">
        <v>43465</v>
      </c>
    </row>
    <row r="284" spans="1:15" x14ac:dyDescent="0.25">
      <c r="A284" s="24" t="s">
        <v>310</v>
      </c>
      <c r="B284" s="24" t="s">
        <v>283</v>
      </c>
      <c r="C284" s="24" t="s">
        <v>311</v>
      </c>
      <c r="D284" s="24" t="s">
        <v>385</v>
      </c>
      <c r="E284" s="24" t="s">
        <v>391</v>
      </c>
      <c r="F284" s="24" t="s">
        <v>286</v>
      </c>
      <c r="G284" s="24" t="s">
        <v>297</v>
      </c>
      <c r="H284" s="2">
        <f>'Merluza sur Artesanal'!BN43</f>
        <v>115.26</v>
      </c>
      <c r="I284" s="2">
        <f>'Merluza sur Artesanal'!BO43</f>
        <v>-99.486000000000004</v>
      </c>
      <c r="J284" s="2">
        <f>'Merluza sur Artesanal'!BP43</f>
        <v>15.774000000000001</v>
      </c>
      <c r="K284" s="2">
        <f>'Merluza sur Artesanal'!BQ43</f>
        <v>3.5760000000000001</v>
      </c>
      <c r="L284" s="2">
        <f>'Merluza sur Artesanal'!BR43</f>
        <v>12.198</v>
      </c>
      <c r="M284" s="251">
        <f>'Merluza sur Artesanal'!BS43</f>
        <v>0.22670216812476227</v>
      </c>
      <c r="N284" s="261" t="str">
        <f>'Merluza sur Artesanal'!BT43</f>
        <v>-</v>
      </c>
      <c r="O284" s="278">
        <v>43465</v>
      </c>
    </row>
    <row r="285" spans="1:15" x14ac:dyDescent="0.25">
      <c r="A285" s="24" t="s">
        <v>310</v>
      </c>
      <c r="B285" s="24" t="s">
        <v>283</v>
      </c>
      <c r="C285" s="24" t="s">
        <v>311</v>
      </c>
      <c r="D285" s="24" t="s">
        <v>385</v>
      </c>
      <c r="E285" s="24" t="s">
        <v>391</v>
      </c>
      <c r="F285" s="24" t="s">
        <v>298</v>
      </c>
      <c r="G285" s="24" t="s">
        <v>288</v>
      </c>
      <c r="H285" s="2">
        <f>'Merluza sur Artesanal'!BN44</f>
        <v>1E-3</v>
      </c>
      <c r="I285" s="2">
        <f>'Merluza sur Artesanal'!BO44</f>
        <v>0</v>
      </c>
      <c r="J285" s="2">
        <f>'Merluza sur Artesanal'!BP44</f>
        <v>12.199</v>
      </c>
      <c r="K285" s="2">
        <f>'Merluza sur Artesanal'!BQ44</f>
        <v>10.006</v>
      </c>
      <c r="L285" s="2">
        <f>'Merluza sur Artesanal'!BR44</f>
        <v>2.1929999999999996</v>
      </c>
      <c r="M285" s="251">
        <f>'Merluza sur Artesanal'!BS44</f>
        <v>0.82023116648905647</v>
      </c>
      <c r="N285" s="261" t="str">
        <f>'Merluza sur Artesanal'!BT44</f>
        <v>-</v>
      </c>
      <c r="O285" s="278">
        <v>43465</v>
      </c>
    </row>
    <row r="286" spans="1:15" x14ac:dyDescent="0.25">
      <c r="A286" s="24" t="s">
        <v>310</v>
      </c>
      <c r="B286" s="24" t="s">
        <v>283</v>
      </c>
      <c r="C286" s="24" t="s">
        <v>311</v>
      </c>
      <c r="D286" s="24" t="s">
        <v>385</v>
      </c>
      <c r="E286" s="24" t="s">
        <v>391</v>
      </c>
      <c r="F286" s="24" t="s">
        <v>286</v>
      </c>
      <c r="G286" s="24" t="s">
        <v>288</v>
      </c>
      <c r="H286" s="2">
        <f>'Merluza sur Artesanal'!BU43</f>
        <v>115.26100000000001</v>
      </c>
      <c r="I286" s="2">
        <f>'Merluza sur Artesanal'!BV43</f>
        <v>-99.486000000000004</v>
      </c>
      <c r="J286" s="2">
        <f>'Merluza sur Artesanal'!BW43</f>
        <v>15.775000000000006</v>
      </c>
      <c r="K286" s="2">
        <f>'Merluza sur Artesanal'!BX43</f>
        <v>13.582000000000001</v>
      </c>
      <c r="L286" s="2">
        <f>'Merluza sur Artesanal'!BY43</f>
        <v>2.1930000000000049</v>
      </c>
      <c r="M286" s="251">
        <f>'Merluza sur Artesanal'!BZ43</f>
        <v>0.86098256735340706</v>
      </c>
      <c r="N286" s="24" t="s">
        <v>410</v>
      </c>
      <c r="O286" s="278">
        <v>43465</v>
      </c>
    </row>
    <row r="287" spans="1:15" x14ac:dyDescent="0.25">
      <c r="A287" s="24" t="s">
        <v>310</v>
      </c>
      <c r="B287" s="24" t="s">
        <v>283</v>
      </c>
      <c r="C287" s="24" t="s">
        <v>311</v>
      </c>
      <c r="D287" s="24" t="s">
        <v>385</v>
      </c>
      <c r="E287" s="24" t="s">
        <v>392</v>
      </c>
      <c r="F287" s="24" t="s">
        <v>286</v>
      </c>
      <c r="G287" s="24" t="s">
        <v>297</v>
      </c>
      <c r="H287" s="2">
        <f>'Merluza sur Artesanal'!BN45</f>
        <v>41.8869257514</v>
      </c>
      <c r="I287" s="2">
        <f>'Merluza sur Artesanal'!BO45</f>
        <v>-41.887</v>
      </c>
      <c r="J287" s="2">
        <f>'Merluza sur Artesanal'!BP45</f>
        <v>-7.424860000071476E-5</v>
      </c>
      <c r="K287" s="2">
        <f>'Merluza sur Artesanal'!BQ45</f>
        <v>0</v>
      </c>
      <c r="L287" s="2">
        <f>'Merluza sur Artesanal'!BR45</f>
        <v>-7.424860000071476E-5</v>
      </c>
      <c r="M287" s="251">
        <f>'Merluza sur Artesanal'!BS45</f>
        <v>0</v>
      </c>
      <c r="N287" s="261">
        <f>'Merluza sur Artesanal'!BT45</f>
        <v>43166</v>
      </c>
      <c r="O287" s="278">
        <v>43465</v>
      </c>
    </row>
    <row r="288" spans="1:15" x14ac:dyDescent="0.25">
      <c r="A288" s="24" t="s">
        <v>310</v>
      </c>
      <c r="B288" s="24" t="s">
        <v>283</v>
      </c>
      <c r="C288" s="24" t="s">
        <v>311</v>
      </c>
      <c r="D288" s="24" t="s">
        <v>385</v>
      </c>
      <c r="E288" s="24" t="s">
        <v>392</v>
      </c>
      <c r="F288" s="24" t="s">
        <v>298</v>
      </c>
      <c r="G288" s="24" t="s">
        <v>288</v>
      </c>
      <c r="H288" s="2">
        <f>'Merluza sur Artesanal'!BN46</f>
        <v>24.079517332800002</v>
      </c>
      <c r="I288" s="2">
        <f>'Merluza sur Artesanal'!BO46</f>
        <v>-22.595000000000002</v>
      </c>
      <c r="J288" s="2">
        <f>'Merluza sur Artesanal'!BP46</f>
        <v>1.4844430841999987</v>
      </c>
      <c r="K288" s="2">
        <f>'Merluza sur Artesanal'!BQ46</f>
        <v>2.222</v>
      </c>
      <c r="L288" s="2">
        <f>'Merluza sur Artesanal'!BR46</f>
        <v>-0.73755691580000127</v>
      </c>
      <c r="M288" s="251">
        <f>'Merluza sur Artesanal'!BS46</f>
        <v>1.4968576590442253</v>
      </c>
      <c r="N288" s="261" t="str">
        <f>'Merluza sur Artesanal'!BT46</f>
        <v>-</v>
      </c>
      <c r="O288" s="278">
        <v>43465</v>
      </c>
    </row>
    <row r="289" spans="1:15" x14ac:dyDescent="0.25">
      <c r="A289" s="24" t="s">
        <v>310</v>
      </c>
      <c r="B289" s="24" t="s">
        <v>283</v>
      </c>
      <c r="C289" s="24" t="s">
        <v>311</v>
      </c>
      <c r="D289" s="24" t="s">
        <v>385</v>
      </c>
      <c r="E289" s="24" t="s">
        <v>392</v>
      </c>
      <c r="F289" s="24" t="s">
        <v>286</v>
      </c>
      <c r="G289" s="24" t="s">
        <v>288</v>
      </c>
      <c r="H289" s="2">
        <f>'Merluza sur Artesanal'!BU45</f>
        <v>65.966443084199994</v>
      </c>
      <c r="I289" s="2">
        <f>'Merluza sur Artesanal'!BV45</f>
        <v>-64.481999999999999</v>
      </c>
      <c r="J289" s="2">
        <f>'Merluza sur Artesanal'!BW45</f>
        <v>1.4844430841999952</v>
      </c>
      <c r="K289" s="2">
        <f>'Merluza sur Artesanal'!BX45</f>
        <v>2.222</v>
      </c>
      <c r="L289" s="2">
        <f>'Merluza sur Artesanal'!BY45</f>
        <v>-0.73755691580000482</v>
      </c>
      <c r="M289" s="251">
        <f>'Merluza sur Artesanal'!BZ45</f>
        <v>1.4968576590442288</v>
      </c>
      <c r="N289" s="24" t="s">
        <v>410</v>
      </c>
      <c r="O289" s="278">
        <v>43465</v>
      </c>
    </row>
    <row r="290" spans="1:15" x14ac:dyDescent="0.25">
      <c r="A290" s="24" t="s">
        <v>310</v>
      </c>
      <c r="B290" s="24" t="s">
        <v>283</v>
      </c>
      <c r="C290" s="24" t="s">
        <v>311</v>
      </c>
      <c r="D290" s="24" t="s">
        <v>385</v>
      </c>
      <c r="E290" s="24" t="s">
        <v>393</v>
      </c>
      <c r="F290" s="24" t="s">
        <v>286</v>
      </c>
      <c r="G290" s="24" t="s">
        <v>297</v>
      </c>
      <c r="H290" s="2">
        <f>'Merluza sur Artesanal'!BN47</f>
        <v>58.804374643099997</v>
      </c>
      <c r="I290" s="2">
        <f>'Merluza sur Artesanal'!BO47</f>
        <v>0</v>
      </c>
      <c r="J290" s="2">
        <f>'Merluza sur Artesanal'!BP47</f>
        <v>58.804374643099997</v>
      </c>
      <c r="K290" s="2">
        <f>'Merluza sur Artesanal'!BQ47</f>
        <v>47.558999999999997</v>
      </c>
      <c r="L290" s="2">
        <f>'Merluza sur Artesanal'!BR47</f>
        <v>11.2453746431</v>
      </c>
      <c r="M290" s="251">
        <f>'Merluza sur Artesanal'!BS47</f>
        <v>0.80876635945282493</v>
      </c>
      <c r="N290" s="261" t="str">
        <f>'Merluza sur Artesanal'!BT47</f>
        <v>-</v>
      </c>
      <c r="O290" s="278">
        <v>43465</v>
      </c>
    </row>
    <row r="291" spans="1:15" x14ac:dyDescent="0.25">
      <c r="A291" s="24" t="s">
        <v>310</v>
      </c>
      <c r="B291" s="24" t="s">
        <v>283</v>
      </c>
      <c r="C291" s="24" t="s">
        <v>311</v>
      </c>
      <c r="D291" s="24" t="s">
        <v>385</v>
      </c>
      <c r="E291" s="24" t="s">
        <v>393</v>
      </c>
      <c r="F291" s="24" t="s">
        <v>298</v>
      </c>
      <c r="G291" s="24" t="s">
        <v>288</v>
      </c>
      <c r="H291" s="2">
        <f>'Merluza sur Artesanal'!BN48</f>
        <v>33.804843231199996</v>
      </c>
      <c r="I291" s="2">
        <f>'Merluza sur Artesanal'!BO48</f>
        <v>0</v>
      </c>
      <c r="J291" s="2">
        <f>'Merluza sur Artesanal'!BP48</f>
        <v>45.050217874299996</v>
      </c>
      <c r="K291" s="2">
        <f>'Merluza sur Artesanal'!BQ48</f>
        <v>43.634</v>
      </c>
      <c r="L291" s="2">
        <f>'Merluza sur Artesanal'!BR48</f>
        <v>1.4162178742999956</v>
      </c>
      <c r="M291" s="251">
        <f>'Merluza sur Artesanal'!BS48</f>
        <v>0.96856357324948894</v>
      </c>
      <c r="N291" s="261" t="str">
        <f>'Merluza sur Artesanal'!BT48</f>
        <v>-</v>
      </c>
      <c r="O291" s="278">
        <v>43465</v>
      </c>
    </row>
    <row r="292" spans="1:15" x14ac:dyDescent="0.25">
      <c r="A292" s="24" t="s">
        <v>310</v>
      </c>
      <c r="B292" s="24" t="s">
        <v>283</v>
      </c>
      <c r="C292" s="24" t="s">
        <v>311</v>
      </c>
      <c r="D292" s="24" t="s">
        <v>385</v>
      </c>
      <c r="E292" s="24" t="s">
        <v>393</v>
      </c>
      <c r="F292" s="24" t="s">
        <v>286</v>
      </c>
      <c r="G292" s="24" t="s">
        <v>288</v>
      </c>
      <c r="H292" s="2">
        <f>'Merluza sur Artesanal'!BU47</f>
        <v>92.609217874299986</v>
      </c>
      <c r="I292" s="2">
        <f>'Merluza sur Artesanal'!BV47</f>
        <v>0</v>
      </c>
      <c r="J292" s="2">
        <f>'Merluza sur Artesanal'!BW47</f>
        <v>92.609217874299986</v>
      </c>
      <c r="K292" s="2">
        <f>'Merluza sur Artesanal'!BX47</f>
        <v>91.192999999999998</v>
      </c>
      <c r="L292" s="2">
        <f>'Merluza sur Artesanal'!BY47</f>
        <v>1.4162178742999885</v>
      </c>
      <c r="M292" s="251">
        <f>'Merluza sur Artesanal'!BZ47</f>
        <v>0.9847075927558071</v>
      </c>
      <c r="N292" s="24" t="s">
        <v>410</v>
      </c>
      <c r="O292" s="278">
        <v>43465</v>
      </c>
    </row>
    <row r="293" spans="1:15" x14ac:dyDescent="0.25">
      <c r="A293" s="24" t="s">
        <v>310</v>
      </c>
      <c r="B293" s="24" t="s">
        <v>283</v>
      </c>
      <c r="C293" s="24" t="s">
        <v>311</v>
      </c>
      <c r="D293" s="24" t="s">
        <v>385</v>
      </c>
      <c r="E293" s="24" t="s">
        <v>394</v>
      </c>
      <c r="F293" s="24" t="s">
        <v>286</v>
      </c>
      <c r="G293" s="24" t="s">
        <v>297</v>
      </c>
      <c r="H293" s="2">
        <f>'Merluza sur Artesanal'!BN49</f>
        <v>55.162999999999997</v>
      </c>
      <c r="I293" s="2">
        <f>'Merluza sur Artesanal'!BO49</f>
        <v>-12.672000000000001</v>
      </c>
      <c r="J293" s="2">
        <f>'Merluza sur Artesanal'!BP49</f>
        <v>42.491</v>
      </c>
      <c r="K293" s="2">
        <f>'Merluza sur Artesanal'!BQ49</f>
        <v>23.119</v>
      </c>
      <c r="L293" s="2">
        <f>'Merluza sur Artesanal'!BR49</f>
        <v>19.372</v>
      </c>
      <c r="M293" s="251">
        <f>'Merluza sur Artesanal'!BS49</f>
        <v>0.54409169000494217</v>
      </c>
      <c r="N293" s="261" t="str">
        <f>'Merluza sur Artesanal'!BT49</f>
        <v>-</v>
      </c>
      <c r="O293" s="278">
        <v>43465</v>
      </c>
    </row>
    <row r="294" spans="1:15" x14ac:dyDescent="0.25">
      <c r="A294" s="24" t="s">
        <v>310</v>
      </c>
      <c r="B294" s="24" t="s">
        <v>283</v>
      </c>
      <c r="C294" s="24" t="s">
        <v>311</v>
      </c>
      <c r="D294" s="24" t="s">
        <v>385</v>
      </c>
      <c r="E294" s="24" t="s">
        <v>394</v>
      </c>
      <c r="F294" s="24" t="s">
        <v>298</v>
      </c>
      <c r="G294" s="24" t="s">
        <v>288</v>
      </c>
      <c r="H294" s="2">
        <f>'Merluza sur Artesanal'!BN50</f>
        <v>1E-3</v>
      </c>
      <c r="I294" s="2">
        <f>'Merluza sur Artesanal'!BO50</f>
        <v>0</v>
      </c>
      <c r="J294" s="2">
        <f>'Merluza sur Artesanal'!BP50</f>
        <v>19.373000000000001</v>
      </c>
      <c r="K294" s="2">
        <f>'Merluza sur Artesanal'!BQ50</f>
        <v>18.614000000000001</v>
      </c>
      <c r="L294" s="2">
        <f>'Merluza sur Artesanal'!BR50</f>
        <v>0.75900000000000034</v>
      </c>
      <c r="M294" s="251">
        <f>'Merluza sur Artesanal'!BS50</f>
        <v>0.96082176224642546</v>
      </c>
      <c r="N294" s="261" t="str">
        <f>'Merluza sur Artesanal'!BT50</f>
        <v>-</v>
      </c>
      <c r="O294" s="278">
        <v>43465</v>
      </c>
    </row>
    <row r="295" spans="1:15" x14ac:dyDescent="0.25">
      <c r="A295" s="24" t="s">
        <v>310</v>
      </c>
      <c r="B295" s="24" t="s">
        <v>283</v>
      </c>
      <c r="C295" s="24" t="s">
        <v>311</v>
      </c>
      <c r="D295" s="24" t="s">
        <v>385</v>
      </c>
      <c r="E295" s="24" t="s">
        <v>394</v>
      </c>
      <c r="F295" s="24" t="s">
        <v>286</v>
      </c>
      <c r="G295" s="24" t="s">
        <v>288</v>
      </c>
      <c r="H295" s="2">
        <f>'Merluza sur Artesanal'!BU49</f>
        <v>55.163999999999994</v>
      </c>
      <c r="I295" s="2">
        <f>'Merluza sur Artesanal'!BV49</f>
        <v>-12.672000000000001</v>
      </c>
      <c r="J295" s="2">
        <f>'Merluza sur Artesanal'!BW49</f>
        <v>42.49199999999999</v>
      </c>
      <c r="K295" s="2">
        <f>'Merluza sur Artesanal'!BX49</f>
        <v>41.733000000000004</v>
      </c>
      <c r="L295" s="2">
        <f>'Merluza sur Artesanal'!BY49</f>
        <v>0.75899999999998613</v>
      </c>
      <c r="M295" s="251">
        <f>'Merluza sur Artesanal'!BZ49</f>
        <v>0.98213781417678658</v>
      </c>
      <c r="N295" s="24" t="s">
        <v>410</v>
      </c>
      <c r="O295" s="278">
        <v>43465</v>
      </c>
    </row>
    <row r="296" spans="1:15" x14ac:dyDescent="0.25">
      <c r="A296" s="24" t="s">
        <v>310</v>
      </c>
      <c r="B296" s="24" t="s">
        <v>283</v>
      </c>
      <c r="C296" s="24" t="s">
        <v>311</v>
      </c>
      <c r="D296" s="24" t="s">
        <v>385</v>
      </c>
      <c r="E296" s="24" t="s">
        <v>395</v>
      </c>
      <c r="F296" s="24" t="s">
        <v>286</v>
      </c>
      <c r="G296" s="24" t="s">
        <v>297</v>
      </c>
      <c r="H296" s="2">
        <f>'Merluza sur Artesanal'!BN51</f>
        <v>43.635051261999998</v>
      </c>
      <c r="I296" s="2">
        <f>'Merluza sur Artesanal'!BO51</f>
        <v>-43.634999999999998</v>
      </c>
      <c r="J296" s="2">
        <f>'Merluza sur Artesanal'!BP51</f>
        <v>5.1261999999496766E-5</v>
      </c>
      <c r="K296" s="2">
        <f>'Merluza sur Artesanal'!BQ51</f>
        <v>0</v>
      </c>
      <c r="L296" s="2">
        <f>'Merluza sur Artesanal'!BR51</f>
        <v>5.1261999999496766E-5</v>
      </c>
      <c r="M296" s="251">
        <f>'Merluza sur Artesanal'!BS51</f>
        <v>0</v>
      </c>
      <c r="N296" s="261">
        <f>'Merluza sur Artesanal'!BT51</f>
        <v>43154</v>
      </c>
      <c r="O296" s="278">
        <v>43465</v>
      </c>
    </row>
    <row r="297" spans="1:15" x14ac:dyDescent="0.25">
      <c r="A297" s="24" t="s">
        <v>310</v>
      </c>
      <c r="B297" s="24" t="s">
        <v>283</v>
      </c>
      <c r="C297" s="24" t="s">
        <v>311</v>
      </c>
      <c r="D297" s="24" t="s">
        <v>385</v>
      </c>
      <c r="E297" s="24" t="s">
        <v>395</v>
      </c>
      <c r="F297" s="24" t="s">
        <v>298</v>
      </c>
      <c r="G297" s="24" t="s">
        <v>288</v>
      </c>
      <c r="H297" s="2">
        <f>'Merluza sur Artesanal'!BN52</f>
        <v>25.084461424000001</v>
      </c>
      <c r="I297" s="2">
        <f>'Merluza sur Artesanal'!BO52</f>
        <v>-25.084</v>
      </c>
      <c r="J297" s="2">
        <f>'Merluza sur Artesanal'!BP52</f>
        <v>5.1268600000042852E-4</v>
      </c>
      <c r="K297" s="2">
        <f>'Merluza sur Artesanal'!BQ52</f>
        <v>0</v>
      </c>
      <c r="L297" s="2">
        <f>'Merluza sur Artesanal'!BR52</f>
        <v>5.1268600000042852E-4</v>
      </c>
      <c r="M297" s="251">
        <f>'Merluza sur Artesanal'!BS52</f>
        <v>0</v>
      </c>
      <c r="N297" s="261">
        <f>'Merluza sur Artesanal'!BT52</f>
        <v>43166</v>
      </c>
      <c r="O297" s="278">
        <v>43465</v>
      </c>
    </row>
    <row r="298" spans="1:15" x14ac:dyDescent="0.25">
      <c r="A298" s="24" t="s">
        <v>310</v>
      </c>
      <c r="B298" s="24" t="s">
        <v>283</v>
      </c>
      <c r="C298" s="24" t="s">
        <v>311</v>
      </c>
      <c r="D298" s="24" t="s">
        <v>385</v>
      </c>
      <c r="E298" s="24" t="s">
        <v>395</v>
      </c>
      <c r="F298" s="24" t="s">
        <v>286</v>
      </c>
      <c r="G298" s="24" t="s">
        <v>288</v>
      </c>
      <c r="H298" s="2">
        <f>'Merluza sur Artesanal'!BU51</f>
        <v>68.719512686000002</v>
      </c>
      <c r="I298" s="2">
        <f>'Merluza sur Artesanal'!BV51</f>
        <v>-68.718999999999994</v>
      </c>
      <c r="J298" s="2">
        <f>'Merluza sur Artesanal'!BW51</f>
        <v>5.1268600000753395E-4</v>
      </c>
      <c r="K298" s="2">
        <f>'Merluza sur Artesanal'!BX51</f>
        <v>0</v>
      </c>
      <c r="L298" s="2">
        <f>'Merluza sur Artesanal'!BY51</f>
        <v>5.1268600000753395E-4</v>
      </c>
      <c r="M298" s="251">
        <f>'Merluza sur Artesanal'!BZ51</f>
        <v>0</v>
      </c>
      <c r="N298" s="24" t="s">
        <v>410</v>
      </c>
      <c r="O298" s="278">
        <v>43465</v>
      </c>
    </row>
    <row r="299" spans="1:15" x14ac:dyDescent="0.25">
      <c r="A299" s="24" t="s">
        <v>310</v>
      </c>
      <c r="B299" s="24" t="s">
        <v>283</v>
      </c>
      <c r="C299" s="24" t="s">
        <v>311</v>
      </c>
      <c r="D299" s="24" t="s">
        <v>385</v>
      </c>
      <c r="E299" s="24" t="s">
        <v>396</v>
      </c>
      <c r="F299" s="24" t="s">
        <v>286</v>
      </c>
      <c r="G299" s="24" t="s">
        <v>297</v>
      </c>
      <c r="H299" s="2">
        <f>'Merluza sur Artesanal'!BN53</f>
        <v>148.62700000000001</v>
      </c>
      <c r="I299" s="2">
        <f>'Merluza sur Artesanal'!BO53</f>
        <v>-148.62699999999998</v>
      </c>
      <c r="J299" s="2">
        <f>'Merluza sur Artesanal'!BP53</f>
        <v>0</v>
      </c>
      <c r="K299" s="2">
        <f>'Merluza sur Artesanal'!BQ53</f>
        <v>0</v>
      </c>
      <c r="L299" s="2">
        <f>'Merluza sur Artesanal'!BR53</f>
        <v>0</v>
      </c>
      <c r="M299" s="251">
        <f>'Merluza sur Artesanal'!BS53</f>
        <v>0</v>
      </c>
      <c r="N299" s="261">
        <f>'Merluza sur Artesanal'!BT53</f>
        <v>43166</v>
      </c>
      <c r="O299" s="278">
        <v>43465</v>
      </c>
    </row>
    <row r="300" spans="1:15" x14ac:dyDescent="0.25">
      <c r="A300" s="24" t="s">
        <v>310</v>
      </c>
      <c r="B300" s="24" t="s">
        <v>283</v>
      </c>
      <c r="C300" s="24" t="s">
        <v>311</v>
      </c>
      <c r="D300" s="24" t="s">
        <v>385</v>
      </c>
      <c r="E300" s="24" t="s">
        <v>396</v>
      </c>
      <c r="F300" s="24" t="s">
        <v>298</v>
      </c>
      <c r="G300" s="24" t="s">
        <v>288</v>
      </c>
      <c r="H300" s="2">
        <f>'Merluza sur Artesanal'!BN54</f>
        <v>85.441000000000003</v>
      </c>
      <c r="I300" s="2">
        <f>'Merluza sur Artesanal'!BO54</f>
        <v>-85.44</v>
      </c>
      <c r="J300" s="2">
        <f>'Merluza sur Artesanal'!BP54</f>
        <v>1.0000000000047748E-3</v>
      </c>
      <c r="K300" s="2">
        <f>'Merluza sur Artesanal'!BQ54</f>
        <v>0</v>
      </c>
      <c r="L300" s="2">
        <f>'Merluza sur Artesanal'!BR54</f>
        <v>1.0000000000047748E-3</v>
      </c>
      <c r="M300" s="251">
        <f>'Merluza sur Artesanal'!BS54</f>
        <v>0</v>
      </c>
      <c r="N300" s="261">
        <f>'Merluza sur Artesanal'!BT53</f>
        <v>43166</v>
      </c>
      <c r="O300" s="278">
        <v>43465</v>
      </c>
    </row>
    <row r="301" spans="1:15" x14ac:dyDescent="0.25">
      <c r="A301" s="24" t="s">
        <v>310</v>
      </c>
      <c r="B301" s="24" t="s">
        <v>283</v>
      </c>
      <c r="C301" s="24" t="s">
        <v>311</v>
      </c>
      <c r="D301" s="24" t="s">
        <v>385</v>
      </c>
      <c r="E301" s="24" t="s">
        <v>396</v>
      </c>
      <c r="F301" s="24" t="s">
        <v>286</v>
      </c>
      <c r="G301" s="24" t="s">
        <v>288</v>
      </c>
      <c r="H301" s="2">
        <f>'Merluza sur Artesanal'!BU53</f>
        <v>234.06800000000001</v>
      </c>
      <c r="I301" s="2">
        <f>'Merluza sur Artesanal'!BV53</f>
        <v>-234.06699999999998</v>
      </c>
      <c r="J301" s="2">
        <f>'Merluza sur Artesanal'!BW53</f>
        <v>1.0000000000331966E-3</v>
      </c>
      <c r="K301" s="2">
        <f>'Merluza sur Artesanal'!BX53</f>
        <v>0</v>
      </c>
      <c r="L301" s="2">
        <f>'Merluza sur Artesanal'!BY53</f>
        <v>1.0000000000331966E-3</v>
      </c>
      <c r="M301" s="251">
        <f>'Merluza sur Artesanal'!BZ53</f>
        <v>0</v>
      </c>
      <c r="N301" s="24" t="s">
        <v>410</v>
      </c>
      <c r="O301" s="278">
        <v>43465</v>
      </c>
    </row>
    <row r="302" spans="1:15" x14ac:dyDescent="0.25">
      <c r="A302" s="24" t="s">
        <v>310</v>
      </c>
      <c r="B302" s="24" t="s">
        <v>283</v>
      </c>
      <c r="C302" s="24" t="s">
        <v>311</v>
      </c>
      <c r="D302" s="24" t="s">
        <v>385</v>
      </c>
      <c r="E302" s="24" t="s">
        <v>397</v>
      </c>
      <c r="F302" s="24" t="s">
        <v>286</v>
      </c>
      <c r="G302" s="24" t="s">
        <v>297</v>
      </c>
      <c r="H302" s="2">
        <f>'Merluza sur Artesanal'!BN55</f>
        <v>27.155999999999999</v>
      </c>
      <c r="I302" s="2">
        <f>'Merluza sur Artesanal'!BO55</f>
        <v>-23.859000000000002</v>
      </c>
      <c r="J302" s="2">
        <f>'Merluza sur Artesanal'!BP55</f>
        <v>3.296999999999997</v>
      </c>
      <c r="K302" s="2">
        <f>'Merluza sur Artesanal'!BQ55</f>
        <v>4.7779999999999996</v>
      </c>
      <c r="L302" s="2">
        <f>'Merluza sur Artesanal'!BR55</f>
        <v>-1.4810000000000025</v>
      </c>
      <c r="M302" s="251">
        <f>'Merluza sur Artesanal'!BS55</f>
        <v>1.4491962390051574</v>
      </c>
      <c r="N302" s="261">
        <f>'Merluza sur Artesanal'!BT55</f>
        <v>43166</v>
      </c>
      <c r="O302" s="278">
        <v>43465</v>
      </c>
    </row>
    <row r="303" spans="1:15" x14ac:dyDescent="0.25">
      <c r="A303" s="24" t="s">
        <v>310</v>
      </c>
      <c r="B303" s="24" t="s">
        <v>283</v>
      </c>
      <c r="C303" s="24" t="s">
        <v>311</v>
      </c>
      <c r="D303" s="24" t="s">
        <v>385</v>
      </c>
      <c r="E303" s="24" t="s">
        <v>397</v>
      </c>
      <c r="F303" s="24" t="s">
        <v>298</v>
      </c>
      <c r="G303" s="24" t="s">
        <v>288</v>
      </c>
      <c r="H303" s="2">
        <f>'Merluza sur Artesanal'!BN56</f>
        <v>15.61</v>
      </c>
      <c r="I303" s="2">
        <f>'Merluza sur Artesanal'!BO56</f>
        <v>-12.686999999999999</v>
      </c>
      <c r="J303" s="2">
        <f>'Merluza sur Artesanal'!BP56</f>
        <v>1.4419999999999975</v>
      </c>
      <c r="K303" s="2">
        <f>'Merluza sur Artesanal'!BQ56</f>
        <v>1.389</v>
      </c>
      <c r="L303" s="2">
        <f>'Merluza sur Artesanal'!BR56</f>
        <v>5.2999999999997494E-2</v>
      </c>
      <c r="M303" s="251">
        <f>'Merluza sur Artesanal'!BS56</f>
        <v>0.96324549237170765</v>
      </c>
      <c r="N303" s="261" t="str">
        <f>'Merluza sur Artesanal'!BT56</f>
        <v>-</v>
      </c>
      <c r="O303" s="278">
        <v>43465</v>
      </c>
    </row>
    <row r="304" spans="1:15" x14ac:dyDescent="0.25">
      <c r="A304" s="24" t="s">
        <v>310</v>
      </c>
      <c r="B304" s="24" t="s">
        <v>283</v>
      </c>
      <c r="C304" s="24" t="s">
        <v>311</v>
      </c>
      <c r="D304" s="24" t="s">
        <v>385</v>
      </c>
      <c r="E304" s="24" t="s">
        <v>397</v>
      </c>
      <c r="F304" s="24" t="s">
        <v>286</v>
      </c>
      <c r="G304" s="24" t="s">
        <v>288</v>
      </c>
      <c r="H304" s="2">
        <f>'Merluza sur Artesanal'!BU55</f>
        <v>42.765999999999998</v>
      </c>
      <c r="I304" s="2">
        <f>'Merluza sur Artesanal'!BV55</f>
        <v>-36.545999999999999</v>
      </c>
      <c r="J304" s="2">
        <f>'Merluza sur Artesanal'!BW55</f>
        <v>6.2199999999999989</v>
      </c>
      <c r="K304" s="2">
        <f>'Merluza sur Artesanal'!BX55</f>
        <v>6.1669999999999998</v>
      </c>
      <c r="L304" s="2">
        <f>'Merluza sur Artesanal'!BY55</f>
        <v>5.2999999999999048E-2</v>
      </c>
      <c r="M304" s="251">
        <f>'Merluza sur Artesanal'!BZ55</f>
        <v>0.99147909967845671</v>
      </c>
      <c r="N304" s="24" t="s">
        <v>410</v>
      </c>
      <c r="O304" s="278">
        <v>43465</v>
      </c>
    </row>
    <row r="305" spans="1:15" x14ac:dyDescent="0.25">
      <c r="A305" s="24" t="s">
        <v>310</v>
      </c>
      <c r="B305" s="24" t="s">
        <v>283</v>
      </c>
      <c r="C305" s="24" t="s">
        <v>311</v>
      </c>
      <c r="D305" s="24" t="s">
        <v>385</v>
      </c>
      <c r="E305" s="24" t="s">
        <v>398</v>
      </c>
      <c r="F305" s="24" t="s">
        <v>286</v>
      </c>
      <c r="G305" s="24" t="s">
        <v>297</v>
      </c>
      <c r="H305" s="2">
        <f>'Merluza sur Artesanal'!BN57</f>
        <v>9.2383592449999998</v>
      </c>
      <c r="I305" s="2">
        <f>'Merluza sur Artesanal'!BO57</f>
        <v>-9.2379999999999995</v>
      </c>
      <c r="J305" s="2">
        <f>'Merluza sur Artesanal'!BP57</f>
        <v>3.5924500000028559E-4</v>
      </c>
      <c r="K305" s="2">
        <f>'Merluza sur Artesanal'!BQ57</f>
        <v>0</v>
      </c>
      <c r="L305" s="2">
        <f>'Merluza sur Artesanal'!BR57</f>
        <v>3.5924500000028559E-4</v>
      </c>
      <c r="M305" s="251">
        <f>'Merluza sur Artesanal'!BS57</f>
        <v>0</v>
      </c>
      <c r="N305" s="261">
        <f>'Merluza sur Artesanal'!BT57</f>
        <v>43154</v>
      </c>
      <c r="O305" s="278">
        <v>43465</v>
      </c>
    </row>
    <row r="306" spans="1:15" x14ac:dyDescent="0.25">
      <c r="A306" s="24" t="s">
        <v>310</v>
      </c>
      <c r="B306" s="24" t="s">
        <v>283</v>
      </c>
      <c r="C306" s="24" t="s">
        <v>311</v>
      </c>
      <c r="D306" s="24" t="s">
        <v>385</v>
      </c>
      <c r="E306" s="24" t="s">
        <v>398</v>
      </c>
      <c r="F306" s="24" t="s">
        <v>298</v>
      </c>
      <c r="G306" s="24" t="s">
        <v>288</v>
      </c>
      <c r="H306" s="2">
        <f>'Merluza sur Artesanal'!BN58</f>
        <v>5.3108512399999999</v>
      </c>
      <c r="I306" s="2">
        <f>'Merluza sur Artesanal'!BO58</f>
        <v>-5.3109999999999999</v>
      </c>
      <c r="J306" s="2">
        <f>'Merluza sur Artesanal'!BP58</f>
        <v>2.1048500000020454E-4</v>
      </c>
      <c r="K306" s="2">
        <f>'Merluza sur Artesanal'!BQ58</f>
        <v>0</v>
      </c>
      <c r="L306" s="2">
        <f>'Merluza sur Artesanal'!BR58</f>
        <v>2.1048500000020454E-4</v>
      </c>
      <c r="M306" s="251">
        <f>'Merluza sur Artesanal'!BS58</f>
        <v>0</v>
      </c>
      <c r="N306" s="261">
        <f>'Merluza sur Artesanal'!BT58</f>
        <v>43166</v>
      </c>
      <c r="O306" s="278">
        <v>43465</v>
      </c>
    </row>
    <row r="307" spans="1:15" x14ac:dyDescent="0.25">
      <c r="A307" s="24" t="s">
        <v>310</v>
      </c>
      <c r="B307" s="24" t="s">
        <v>283</v>
      </c>
      <c r="C307" s="24" t="s">
        <v>311</v>
      </c>
      <c r="D307" s="24" t="s">
        <v>385</v>
      </c>
      <c r="E307" s="24" t="s">
        <v>398</v>
      </c>
      <c r="F307" s="24" t="s">
        <v>286</v>
      </c>
      <c r="G307" s="24" t="s">
        <v>288</v>
      </c>
      <c r="H307" s="2">
        <f>'Merluza sur Artesanal'!BU57</f>
        <v>14.549210485</v>
      </c>
      <c r="I307" s="2">
        <f>'Merluza sur Artesanal'!BV57</f>
        <v>-14.548999999999999</v>
      </c>
      <c r="J307" s="2">
        <f>'Merluza sur Artesanal'!BW57</f>
        <v>2.1048500000020454E-4</v>
      </c>
      <c r="K307" s="2">
        <f>'Merluza sur Artesanal'!BX57</f>
        <v>0</v>
      </c>
      <c r="L307" s="2">
        <f>'Merluza sur Artesanal'!BY57</f>
        <v>2.1048500000020454E-4</v>
      </c>
      <c r="M307" s="251">
        <f>'Merluza sur Artesanal'!BZ57</f>
        <v>0</v>
      </c>
      <c r="N307" s="24" t="s">
        <v>410</v>
      </c>
      <c r="O307" s="278">
        <v>43465</v>
      </c>
    </row>
    <row r="308" spans="1:15" x14ac:dyDescent="0.25">
      <c r="A308" s="24" t="s">
        <v>310</v>
      </c>
      <c r="B308" s="24" t="s">
        <v>283</v>
      </c>
      <c r="C308" s="24" t="s">
        <v>311</v>
      </c>
      <c r="D308" s="24" t="s">
        <v>385</v>
      </c>
      <c r="E308" s="24" t="s">
        <v>399</v>
      </c>
      <c r="F308" s="24" t="s">
        <v>286</v>
      </c>
      <c r="G308" s="24" t="s">
        <v>297</v>
      </c>
      <c r="H308" s="2">
        <f>'Merluza sur Artesanal'!BN59</f>
        <v>15.146592009699999</v>
      </c>
      <c r="I308" s="2">
        <f>'Merluza sur Artesanal'!BO59</f>
        <v>-17.369</v>
      </c>
      <c r="J308" s="2">
        <f>'Merluza sur Artesanal'!BP59</f>
        <v>-2.2224079903000007</v>
      </c>
      <c r="K308" s="2">
        <f>'Merluza sur Artesanal'!BQ59</f>
        <v>0</v>
      </c>
      <c r="L308" s="2">
        <f>'Merluza sur Artesanal'!BR59</f>
        <v>-2.2224079903000007</v>
      </c>
      <c r="M308" s="251">
        <f>'Merluza sur Artesanal'!BS59</f>
        <v>0</v>
      </c>
      <c r="N308" s="261">
        <f>'Merluza sur Artesanal'!BT59</f>
        <v>43166</v>
      </c>
      <c r="O308" s="278">
        <v>43465</v>
      </c>
    </row>
    <row r="309" spans="1:15" x14ac:dyDescent="0.25">
      <c r="A309" s="24" t="s">
        <v>310</v>
      </c>
      <c r="B309" s="24" t="s">
        <v>283</v>
      </c>
      <c r="C309" s="24" t="s">
        <v>311</v>
      </c>
      <c r="D309" s="24" t="s">
        <v>385</v>
      </c>
      <c r="E309" s="24" t="s">
        <v>399</v>
      </c>
      <c r="F309" s="24" t="s">
        <v>298</v>
      </c>
      <c r="G309" s="24" t="s">
        <v>288</v>
      </c>
      <c r="H309" s="2">
        <f>'Merluza sur Artesanal'!BN60</f>
        <v>8.7073142344000001</v>
      </c>
      <c r="I309" s="2">
        <f>'Merluza sur Artesanal'!BO60</f>
        <v>-5.7240000000000002</v>
      </c>
      <c r="J309" s="2">
        <f>'Merluza sur Artesanal'!BP60</f>
        <v>0.76090624409999918</v>
      </c>
      <c r="K309" s="2">
        <f>'Merluza sur Artesanal'!BQ60</f>
        <v>0.22700000000000001</v>
      </c>
      <c r="L309" s="2">
        <f>'Merluza sur Artesanal'!BR60</f>
        <v>0.53390624409999921</v>
      </c>
      <c r="M309" s="251">
        <f>'Merluza sur Artesanal'!BS60</f>
        <v>0.29832847576181465</v>
      </c>
      <c r="N309" s="261" t="str">
        <f>'Merluza sur Artesanal'!BT60</f>
        <v>-</v>
      </c>
      <c r="O309" s="278">
        <v>43465</v>
      </c>
    </row>
    <row r="310" spans="1:15" x14ac:dyDescent="0.25">
      <c r="A310" s="24" t="s">
        <v>310</v>
      </c>
      <c r="B310" s="24" t="s">
        <v>283</v>
      </c>
      <c r="C310" s="24" t="s">
        <v>311</v>
      </c>
      <c r="D310" s="24" t="s">
        <v>385</v>
      </c>
      <c r="E310" s="24" t="s">
        <v>399</v>
      </c>
      <c r="F310" s="24" t="s">
        <v>286</v>
      </c>
      <c r="G310" s="24" t="s">
        <v>288</v>
      </c>
      <c r="H310" s="2">
        <f>'Merluza sur Artesanal'!BU59</f>
        <v>23.853906244099999</v>
      </c>
      <c r="I310" s="2">
        <f>'Merluza sur Artesanal'!BV59</f>
        <v>-23.093</v>
      </c>
      <c r="J310" s="2">
        <f>'Merluza sur Artesanal'!BW59</f>
        <v>0.76090624409999918</v>
      </c>
      <c r="K310" s="2">
        <f>'Merluza sur Artesanal'!BX59</f>
        <v>0.22700000000000001</v>
      </c>
      <c r="L310" s="2">
        <f>'Merluza sur Artesanal'!BY59</f>
        <v>0.53390624409999921</v>
      </c>
      <c r="M310" s="251">
        <f>'Merluza sur Artesanal'!BZ59</f>
        <v>0.29832847576181465</v>
      </c>
      <c r="N310" s="24" t="s">
        <v>410</v>
      </c>
      <c r="O310" s="278">
        <v>43465</v>
      </c>
    </row>
    <row r="311" spans="1:15" x14ac:dyDescent="0.25">
      <c r="A311" s="24" t="s">
        <v>310</v>
      </c>
      <c r="B311" s="24" t="s">
        <v>283</v>
      </c>
      <c r="C311" s="24" t="s">
        <v>311</v>
      </c>
      <c r="D311" s="24" t="s">
        <v>385</v>
      </c>
      <c r="E311" s="24" t="s">
        <v>400</v>
      </c>
      <c r="F311" s="24" t="s">
        <v>286</v>
      </c>
      <c r="G311" s="24" t="s">
        <v>297</v>
      </c>
      <c r="H311" s="2">
        <f>'Merluza sur Artesanal'!BN61</f>
        <v>9.3143394779000008</v>
      </c>
      <c r="I311" s="2">
        <f>'Merluza sur Artesanal'!BO61</f>
        <v>-9.3140000000000001</v>
      </c>
      <c r="J311" s="2">
        <f>'Merluza sur Artesanal'!BP61</f>
        <v>3.3947790000077305E-4</v>
      </c>
      <c r="K311" s="2">
        <f>'Merluza sur Artesanal'!BQ61</f>
        <v>0</v>
      </c>
      <c r="L311" s="2">
        <f>'Merluza sur Artesanal'!BR61</f>
        <v>3.3947790000077305E-4</v>
      </c>
      <c r="M311" s="251">
        <f>'Merluza sur Artesanal'!BS61</f>
        <v>0</v>
      </c>
      <c r="N311" s="261">
        <f>'Merluza sur Artesanal'!BT61</f>
        <v>43166</v>
      </c>
      <c r="O311" s="278">
        <v>43465</v>
      </c>
    </row>
    <row r="312" spans="1:15" x14ac:dyDescent="0.25">
      <c r="A312" s="24" t="s">
        <v>310</v>
      </c>
      <c r="B312" s="24" t="s">
        <v>283</v>
      </c>
      <c r="C312" s="24" t="s">
        <v>311</v>
      </c>
      <c r="D312" s="24" t="s">
        <v>385</v>
      </c>
      <c r="E312" s="24" t="s">
        <v>400</v>
      </c>
      <c r="F312" s="24" t="s">
        <v>298</v>
      </c>
      <c r="G312" s="24" t="s">
        <v>288</v>
      </c>
      <c r="H312" s="2">
        <f>'Merluza sur Artesanal'!BN62</f>
        <v>5.3545299607999999</v>
      </c>
      <c r="I312" s="2">
        <f>'Merluza sur Artesanal'!BO62</f>
        <v>-4.3140000000000001</v>
      </c>
      <c r="J312" s="2">
        <f>'Merluza sur Artesanal'!BP62</f>
        <v>1.0408694387000006</v>
      </c>
      <c r="K312" s="2">
        <f>'Merluza sur Artesanal'!BQ62</f>
        <v>1.0409999999999999</v>
      </c>
      <c r="L312" s="2">
        <f>'Merluza sur Artesanal'!BR62</f>
        <v>-1.3056129999933219E-4</v>
      </c>
      <c r="M312" s="251">
        <f>'Merluza sur Artesanal'!BS62</f>
        <v>1.0001254348481616</v>
      </c>
      <c r="N312" s="261" t="str">
        <f>'Merluza sur Artesanal'!BT62</f>
        <v>-</v>
      </c>
      <c r="O312" s="278">
        <v>43465</v>
      </c>
    </row>
    <row r="313" spans="1:15" x14ac:dyDescent="0.25">
      <c r="A313" s="24" t="s">
        <v>310</v>
      </c>
      <c r="B313" s="24" t="s">
        <v>283</v>
      </c>
      <c r="C313" s="24" t="s">
        <v>311</v>
      </c>
      <c r="D313" s="24" t="s">
        <v>385</v>
      </c>
      <c r="E313" s="24" t="s">
        <v>400</v>
      </c>
      <c r="F313" s="24" t="s">
        <v>286</v>
      </c>
      <c r="G313" s="24" t="s">
        <v>288</v>
      </c>
      <c r="H313" s="2">
        <f>'Merluza sur Artesanal'!BU61</f>
        <v>14.6688694387</v>
      </c>
      <c r="I313" s="2">
        <f>'Merluza sur Artesanal'!BV61</f>
        <v>-13.628</v>
      </c>
      <c r="J313" s="2">
        <f>'Merluza sur Artesanal'!BW61</f>
        <v>1.0408694386999997</v>
      </c>
      <c r="K313" s="2">
        <f>'Merluza sur Artesanal'!BX61</f>
        <v>1.0409999999999999</v>
      </c>
      <c r="L313" s="2">
        <f>'Merluza sur Artesanal'!BY61</f>
        <v>-1.3056130000022037E-4</v>
      </c>
      <c r="M313" s="251">
        <f>'Merluza sur Artesanal'!BZ61</f>
        <v>1.0001254348481623</v>
      </c>
      <c r="N313" s="24" t="s">
        <v>410</v>
      </c>
      <c r="O313" s="278">
        <v>43465</v>
      </c>
    </row>
    <row r="314" spans="1:15" x14ac:dyDescent="0.25">
      <c r="A314" s="24" t="s">
        <v>310</v>
      </c>
      <c r="B314" s="24" t="s">
        <v>283</v>
      </c>
      <c r="C314" s="24" t="s">
        <v>311</v>
      </c>
      <c r="D314" s="24" t="s">
        <v>385</v>
      </c>
      <c r="E314" s="24" t="s">
        <v>401</v>
      </c>
      <c r="F314" s="24" t="s">
        <v>286</v>
      </c>
      <c r="G314" s="24" t="s">
        <v>297</v>
      </c>
      <c r="H314" s="2">
        <f>'Merluza sur Artesanal'!BN63</f>
        <v>19.623999999999999</v>
      </c>
      <c r="I314" s="2">
        <f>'Merluza sur Artesanal'!BO63</f>
        <v>-19.623999999999999</v>
      </c>
      <c r="J314" s="2">
        <f>'Merluza sur Artesanal'!BP63</f>
        <v>0</v>
      </c>
      <c r="K314" s="2">
        <f>'Merluza sur Artesanal'!BQ63</f>
        <v>0.13300000000000001</v>
      </c>
      <c r="L314" s="2">
        <f>'Merluza sur Artesanal'!BR63</f>
        <v>-0.13300000000000001</v>
      </c>
      <c r="M314" s="251">
        <v>1</v>
      </c>
      <c r="N314" s="261">
        <f>'Merluza sur Artesanal'!BT63</f>
        <v>43206</v>
      </c>
      <c r="O314" s="278">
        <v>43465</v>
      </c>
    </row>
    <row r="315" spans="1:15" x14ac:dyDescent="0.25">
      <c r="A315" s="24" t="s">
        <v>310</v>
      </c>
      <c r="B315" s="24" t="s">
        <v>283</v>
      </c>
      <c r="C315" s="24" t="s">
        <v>311</v>
      </c>
      <c r="D315" s="24" t="s">
        <v>385</v>
      </c>
      <c r="E315" s="24" t="s">
        <v>401</v>
      </c>
      <c r="F315" s="24" t="s">
        <v>298</v>
      </c>
      <c r="G315" s="24" t="s">
        <v>288</v>
      </c>
      <c r="H315" s="2">
        <f>'Merluza sur Artesanal'!BN64</f>
        <v>11.281000000000001</v>
      </c>
      <c r="I315" s="2">
        <f>'Merluza sur Artesanal'!BO64</f>
        <v>-10.363</v>
      </c>
      <c r="J315" s="2">
        <f>'Merluza sur Artesanal'!BP64</f>
        <v>0.78500000000000103</v>
      </c>
      <c r="K315" s="2">
        <f>'Merluza sur Artesanal'!BQ64</f>
        <v>0.23499999999999999</v>
      </c>
      <c r="L315" s="2">
        <f>'Merluza sur Artesanal'!BR64</f>
        <v>0.55000000000000104</v>
      </c>
      <c r="M315" s="251">
        <f>'Merluza sur Artesanal'!BS64</f>
        <v>0.29936305732484036</v>
      </c>
      <c r="N315" s="261" t="str">
        <f>'Merluza sur Artesanal'!BT64</f>
        <v>-</v>
      </c>
      <c r="O315" s="278">
        <v>43465</v>
      </c>
    </row>
    <row r="316" spans="1:15" x14ac:dyDescent="0.25">
      <c r="A316" s="24" t="s">
        <v>310</v>
      </c>
      <c r="B316" s="24" t="s">
        <v>283</v>
      </c>
      <c r="C316" s="24" t="s">
        <v>311</v>
      </c>
      <c r="D316" s="24" t="s">
        <v>385</v>
      </c>
      <c r="E316" s="24" t="s">
        <v>401</v>
      </c>
      <c r="F316" s="24" t="s">
        <v>286</v>
      </c>
      <c r="G316" s="24" t="s">
        <v>288</v>
      </c>
      <c r="H316" s="2">
        <f>'Merluza sur Artesanal'!BU63</f>
        <v>30.905000000000001</v>
      </c>
      <c r="I316" s="2">
        <f>'Merluza sur Artesanal'!BV63</f>
        <v>-29.986999999999998</v>
      </c>
      <c r="J316" s="2">
        <f>'Merluza sur Artesanal'!BW63</f>
        <v>0.91800000000000281</v>
      </c>
      <c r="K316" s="2">
        <f>'Merluza sur Artesanal'!BX63</f>
        <v>0.36799999999999999</v>
      </c>
      <c r="L316" s="2">
        <f>'Merluza sur Artesanal'!BY63</f>
        <v>0.55000000000000282</v>
      </c>
      <c r="M316" s="251">
        <f>'Merluza sur Artesanal'!BZ63</f>
        <v>0.40087145969498789</v>
      </c>
      <c r="N316" s="24" t="s">
        <v>410</v>
      </c>
      <c r="O316" s="278">
        <v>43465</v>
      </c>
    </row>
    <row r="317" spans="1:15" x14ac:dyDescent="0.25">
      <c r="A317" s="24" t="s">
        <v>310</v>
      </c>
      <c r="B317" s="24" t="s">
        <v>283</v>
      </c>
      <c r="C317" s="24" t="s">
        <v>311</v>
      </c>
      <c r="D317" s="24" t="s">
        <v>385</v>
      </c>
      <c r="E317" s="24" t="s">
        <v>402</v>
      </c>
      <c r="F317" s="24" t="s">
        <v>286</v>
      </c>
      <c r="G317" s="24" t="s">
        <v>297</v>
      </c>
      <c r="H317" s="2">
        <f>'Merluza sur Artesanal'!BN65</f>
        <v>2.8491211060000001</v>
      </c>
      <c r="I317" s="2">
        <f>'Merluza sur Artesanal'!BO65</f>
        <v>-2.8490000000000002</v>
      </c>
      <c r="J317" s="2">
        <f>'Merluza sur Artesanal'!BP65</f>
        <v>1.2110599999992644E-4</v>
      </c>
      <c r="K317" s="2">
        <f>'Merluza sur Artesanal'!BQ65</f>
        <v>0</v>
      </c>
      <c r="L317" s="2">
        <f>'Merluza sur Artesanal'!BR65</f>
        <v>1.2110599999992644E-4</v>
      </c>
      <c r="M317" s="251">
        <f>'Merluza sur Artesanal'!BS65</f>
        <v>0</v>
      </c>
      <c r="N317" s="261">
        <f>'Merluza sur Artesanal'!BT65</f>
        <v>43154</v>
      </c>
      <c r="O317" s="278">
        <v>43465</v>
      </c>
    </row>
    <row r="318" spans="1:15" x14ac:dyDescent="0.25">
      <c r="A318" s="24" t="s">
        <v>310</v>
      </c>
      <c r="B318" s="24" t="s">
        <v>283</v>
      </c>
      <c r="C318" s="24" t="s">
        <v>311</v>
      </c>
      <c r="D318" s="24" t="s">
        <v>385</v>
      </c>
      <c r="E318" s="24" t="s">
        <v>402</v>
      </c>
      <c r="F318" s="24" t="s">
        <v>298</v>
      </c>
      <c r="G318" s="24" t="s">
        <v>288</v>
      </c>
      <c r="H318" s="2">
        <f>'Merluza sur Artesanal'!BN66</f>
        <v>1.6378729120000002</v>
      </c>
      <c r="I318" s="2">
        <f>'Merluza sur Artesanal'!BO66</f>
        <v>-1.6379999999999999</v>
      </c>
      <c r="J318" s="2">
        <f>'Merluza sur Artesanal'!BP66</f>
        <v>-5.9819999997934303E-6</v>
      </c>
      <c r="K318" s="2">
        <f>'Merluza sur Artesanal'!BQ66</f>
        <v>0</v>
      </c>
      <c r="L318" s="2">
        <f>'Merluza sur Artesanal'!BR66</f>
        <v>-5.9819999997934303E-6</v>
      </c>
      <c r="M318" s="251">
        <f>'Merluza sur Artesanal'!BS66</f>
        <v>0</v>
      </c>
      <c r="N318" s="261">
        <f>'Merluza sur Artesanal'!BT66</f>
        <v>43166</v>
      </c>
      <c r="O318" s="278">
        <v>43465</v>
      </c>
    </row>
    <row r="319" spans="1:15" x14ac:dyDescent="0.25">
      <c r="A319" s="24" t="s">
        <v>310</v>
      </c>
      <c r="B319" s="24" t="s">
        <v>283</v>
      </c>
      <c r="C319" s="24" t="s">
        <v>311</v>
      </c>
      <c r="D319" s="24" t="s">
        <v>385</v>
      </c>
      <c r="E319" s="24" t="s">
        <v>402</v>
      </c>
      <c r="F319" s="24" t="s">
        <v>286</v>
      </c>
      <c r="G319" s="24" t="s">
        <v>288</v>
      </c>
      <c r="H319" s="2">
        <f>'Merluza sur Artesanal'!BU65</f>
        <v>4.4869940180000008</v>
      </c>
      <c r="I319" s="2">
        <f>'Merluza sur Artesanal'!BV65</f>
        <v>-4.4870000000000001</v>
      </c>
      <c r="J319" s="2">
        <f>'Merluza sur Artesanal'!BW65</f>
        <v>-5.9819999993493411E-6</v>
      </c>
      <c r="K319" s="2">
        <f>'Merluza sur Artesanal'!BX65</f>
        <v>0</v>
      </c>
      <c r="L319" s="2">
        <f>'Merluza sur Artesanal'!BY65</f>
        <v>-5.9819999993493411E-6</v>
      </c>
      <c r="M319" s="251">
        <f>'Merluza sur Artesanal'!BZ65</f>
        <v>0</v>
      </c>
      <c r="N319" s="24" t="s">
        <v>410</v>
      </c>
      <c r="O319" s="278">
        <v>43465</v>
      </c>
    </row>
    <row r="320" spans="1:15" x14ac:dyDescent="0.25">
      <c r="A320" s="24" t="s">
        <v>310</v>
      </c>
      <c r="B320" s="24" t="s">
        <v>283</v>
      </c>
      <c r="C320" s="24" t="s">
        <v>311</v>
      </c>
      <c r="D320" s="24" t="s">
        <v>385</v>
      </c>
      <c r="E320" s="24" t="s">
        <v>346</v>
      </c>
      <c r="F320" s="24" t="s">
        <v>286</v>
      </c>
      <c r="G320" s="24" t="s">
        <v>297</v>
      </c>
      <c r="H320" s="2">
        <f>'Merluza sur Artesanal'!BN67</f>
        <v>5.4480000000000004</v>
      </c>
      <c r="I320" s="2">
        <f>'Merluza sur Artesanal'!BO67</f>
        <v>0</v>
      </c>
      <c r="J320" s="2">
        <f>'Merluza sur Artesanal'!BP67</f>
        <v>5.4480000000000004</v>
      </c>
      <c r="K320" s="2">
        <f>'Merluza sur Artesanal'!BQ67</f>
        <v>8.5359999999999996</v>
      </c>
      <c r="L320" s="2">
        <f>'Merluza sur Artesanal'!BR67</f>
        <v>-3.0879999999999992</v>
      </c>
      <c r="M320" s="251">
        <f>'Merluza sur Artesanal'!BS67</f>
        <v>1.5668135095447868</v>
      </c>
      <c r="N320" s="261">
        <f>'Merluza sur Artesanal'!BT67</f>
        <v>43236</v>
      </c>
      <c r="O320" s="278">
        <v>43465</v>
      </c>
    </row>
    <row r="321" spans="1:15" x14ac:dyDescent="0.25">
      <c r="A321" s="24" t="s">
        <v>310</v>
      </c>
      <c r="B321" s="24" t="s">
        <v>283</v>
      </c>
      <c r="C321" s="24" t="s">
        <v>311</v>
      </c>
      <c r="D321" s="24" t="s">
        <v>385</v>
      </c>
      <c r="E321" s="24" t="s">
        <v>346</v>
      </c>
      <c r="F321" s="24" t="s">
        <v>298</v>
      </c>
      <c r="G321" s="24" t="s">
        <v>288</v>
      </c>
      <c r="H321" s="2">
        <f>'Merluza sur Artesanal'!BN68</f>
        <v>3.1320000000000001</v>
      </c>
      <c r="I321" s="2">
        <f>'Merluza sur Artesanal'!BO68</f>
        <v>0</v>
      </c>
      <c r="J321" s="2">
        <f>'Merluza sur Artesanal'!BP68</f>
        <v>4.4000000000000927E-2</v>
      </c>
      <c r="K321" s="2">
        <f>'Merluza sur Artesanal'!BQ68</f>
        <v>2.883</v>
      </c>
      <c r="L321" s="2">
        <f>'Merluza sur Artesanal'!BR68</f>
        <v>-2.8389999999999991</v>
      </c>
      <c r="M321" s="251">
        <f>'Merluza sur Artesanal'!BS68</f>
        <v>65.522727272725888</v>
      </c>
      <c r="N321" s="261" t="str">
        <f>'Merluza sur Artesanal'!BT68</f>
        <v>-</v>
      </c>
      <c r="O321" s="278">
        <v>43465</v>
      </c>
    </row>
    <row r="322" spans="1:15" x14ac:dyDescent="0.25">
      <c r="A322" s="24" t="s">
        <v>310</v>
      </c>
      <c r="B322" s="24" t="s">
        <v>283</v>
      </c>
      <c r="C322" s="24" t="s">
        <v>311</v>
      </c>
      <c r="D322" s="24" t="s">
        <v>385</v>
      </c>
      <c r="E322" s="24" t="s">
        <v>346</v>
      </c>
      <c r="F322" s="24" t="s">
        <v>286</v>
      </c>
      <c r="G322" s="24" t="s">
        <v>288</v>
      </c>
      <c r="H322" s="2">
        <f>'Merluza sur Artesanal'!BU67</f>
        <v>8.58</v>
      </c>
      <c r="I322" s="2">
        <f>'Merluza sur Artesanal'!BV67</f>
        <v>0</v>
      </c>
      <c r="J322" s="2">
        <f>'Merluza sur Artesanal'!BW67</f>
        <v>8.58</v>
      </c>
      <c r="K322" s="2">
        <f>'Merluza sur Artesanal'!BX67</f>
        <v>11.419</v>
      </c>
      <c r="L322" s="2">
        <f>'Merluza sur Artesanal'!BY67</f>
        <v>-2.8390000000000004</v>
      </c>
      <c r="M322" s="251">
        <f>'Merluza sur Artesanal'!BZ67</f>
        <v>1.330885780885781</v>
      </c>
      <c r="N322" s="24" t="s">
        <v>410</v>
      </c>
      <c r="O322" s="278">
        <v>43465</v>
      </c>
    </row>
    <row r="323" spans="1:15" x14ac:dyDescent="0.25">
      <c r="A323" s="24" t="s">
        <v>403</v>
      </c>
      <c r="B323" s="24" t="s">
        <v>283</v>
      </c>
      <c r="C323" s="24" t="s">
        <v>142</v>
      </c>
      <c r="D323" s="24" t="s">
        <v>122</v>
      </c>
      <c r="E323" s="24" t="s">
        <v>404</v>
      </c>
      <c r="F323" s="24" t="s">
        <v>286</v>
      </c>
      <c r="G323" s="24" t="s">
        <v>297</v>
      </c>
      <c r="H323" s="2">
        <f>'Merluza sur Artesanal'!F108</f>
        <v>991.65599999999995</v>
      </c>
      <c r="I323" s="2">
        <f>'Merluza sur Artesanal'!G108</f>
        <v>-948.47500000000002</v>
      </c>
      <c r="J323" s="2">
        <f>'Merluza sur Artesanal'!H108</f>
        <v>43.180999999999926</v>
      </c>
      <c r="K323" s="2">
        <f>'Merluza sur Artesanal'!I108</f>
        <v>3.7919999999999998</v>
      </c>
      <c r="L323" s="2">
        <f>'Merluza sur Artesanal'!J108</f>
        <v>39.388999999999925</v>
      </c>
      <c r="M323" s="251">
        <f>'Merluza sur Artesanal'!K108</f>
        <v>8.7816400731803482E-2</v>
      </c>
      <c r="N323" s="24" t="s">
        <v>410</v>
      </c>
      <c r="O323" s="278">
        <v>43465</v>
      </c>
    </row>
    <row r="324" spans="1:15" x14ac:dyDescent="0.25">
      <c r="A324" s="24" t="s">
        <v>403</v>
      </c>
      <c r="B324" s="24" t="s">
        <v>283</v>
      </c>
      <c r="C324" s="24" t="s">
        <v>142</v>
      </c>
      <c r="D324" s="24" t="s">
        <v>122</v>
      </c>
      <c r="E324" s="24" t="s">
        <v>404</v>
      </c>
      <c r="F324" s="24" t="s">
        <v>298</v>
      </c>
      <c r="G324" s="24" t="s">
        <v>288</v>
      </c>
      <c r="H324" s="2">
        <f>'Merluza sur Artesanal'!F109</f>
        <v>0.01</v>
      </c>
      <c r="I324" s="2">
        <f>'Merluza sur Artesanal'!G109</f>
        <v>-21.866</v>
      </c>
      <c r="J324" s="2">
        <f>'Merluza sur Artesanal'!H109</f>
        <v>17.532999999999927</v>
      </c>
      <c r="K324" s="2">
        <f>'Merluza sur Artesanal'!I109</f>
        <v>10.792999999999999</v>
      </c>
      <c r="L324" s="2">
        <f>'Merluza sur Artesanal'!J109</f>
        <v>6.7399999999999274</v>
      </c>
      <c r="M324" s="251">
        <f>'Merluza sur Artesanal'!K109</f>
        <v>0.61558204528603455</v>
      </c>
      <c r="N324" s="24" t="str">
        <f>'Merluza sur Artesanal'!L109</f>
        <v>-</v>
      </c>
      <c r="O324" s="278">
        <v>43465</v>
      </c>
    </row>
    <row r="325" spans="1:15" x14ac:dyDescent="0.25">
      <c r="A325" s="24" t="s">
        <v>403</v>
      </c>
      <c r="B325" s="24" t="s">
        <v>283</v>
      </c>
      <c r="C325" s="24" t="s">
        <v>142</v>
      </c>
      <c r="D325" s="24" t="s">
        <v>122</v>
      </c>
      <c r="E325" s="24" t="s">
        <v>404</v>
      </c>
      <c r="F325" s="24" t="s">
        <v>286</v>
      </c>
      <c r="G325" s="24" t="s">
        <v>288</v>
      </c>
      <c r="H325" s="2">
        <f>'Merluza sur Artesanal'!M108</f>
        <v>991.66599999999994</v>
      </c>
      <c r="I325" s="2">
        <f>'Merluza sur Artesanal'!N108</f>
        <v>-970.34100000000001</v>
      </c>
      <c r="J325" s="2">
        <f>'Merluza sur Artesanal'!O108</f>
        <v>21.324999999999932</v>
      </c>
      <c r="K325" s="2">
        <f>'Merluza sur Artesanal'!P108</f>
        <v>14.584999999999999</v>
      </c>
      <c r="L325" s="2">
        <f>'Merluza sur Artesanal'!Q108</f>
        <v>6.7399999999999327</v>
      </c>
      <c r="M325" s="251">
        <f>'Merluza sur Artesanal'!R108</f>
        <v>0.68393903868698924</v>
      </c>
      <c r="N325" s="24" t="s">
        <v>410</v>
      </c>
      <c r="O325" s="278">
        <v>43465</v>
      </c>
    </row>
    <row r="326" spans="1:15" x14ac:dyDescent="0.25">
      <c r="A326" s="24" t="s">
        <v>403</v>
      </c>
      <c r="B326" s="24" t="s">
        <v>283</v>
      </c>
      <c r="C326" s="24" t="s">
        <v>142</v>
      </c>
      <c r="D326" s="24" t="s">
        <v>122</v>
      </c>
      <c r="E326" s="24" t="s">
        <v>405</v>
      </c>
      <c r="F326" s="24" t="s">
        <v>286</v>
      </c>
      <c r="G326" s="24" t="s">
        <v>297</v>
      </c>
      <c r="H326" s="2">
        <f>'Merluza sur Artesanal'!F110</f>
        <v>793.327</v>
      </c>
      <c r="I326" s="2">
        <f>'Merluza sur Artesanal'!G110</f>
        <v>-741.75299999999993</v>
      </c>
      <c r="J326" s="2">
        <f>'Merluza sur Artesanal'!H110</f>
        <v>51.574000000000069</v>
      </c>
      <c r="K326" s="2">
        <f>'Merluza sur Artesanal'!I110</f>
        <v>4.5609999999999999</v>
      </c>
      <c r="L326" s="2">
        <f>'Merluza sur Artesanal'!J110</f>
        <v>47.013000000000069</v>
      </c>
      <c r="M326" s="251">
        <f>'Merluza sur Artesanal'!K110</f>
        <v>8.843603366037138E-2</v>
      </c>
      <c r="N326" s="24" t="s">
        <v>410</v>
      </c>
      <c r="O326" s="278">
        <v>43465</v>
      </c>
    </row>
    <row r="327" spans="1:15" x14ac:dyDescent="0.25">
      <c r="A327" s="24" t="s">
        <v>403</v>
      </c>
      <c r="B327" s="24" t="s">
        <v>283</v>
      </c>
      <c r="C327" s="24" t="s">
        <v>142</v>
      </c>
      <c r="D327" s="24" t="s">
        <v>122</v>
      </c>
      <c r="E327" s="24" t="s">
        <v>405</v>
      </c>
      <c r="F327" s="24" t="s">
        <v>298</v>
      </c>
      <c r="G327" s="24" t="s">
        <v>288</v>
      </c>
      <c r="H327" s="2">
        <f>'Merluza sur Artesanal'!F111</f>
        <v>7.0000000000000001E-3</v>
      </c>
      <c r="I327" s="2">
        <f>'Merluza sur Artesanal'!G111</f>
        <v>-28.265999999999998</v>
      </c>
      <c r="J327" s="2">
        <f>'Merluza sur Artesanal'!H111</f>
        <v>18.754000000000072</v>
      </c>
      <c r="K327" s="2">
        <f>'Merluza sur Artesanal'!I111</f>
        <v>9.0239999999999991</v>
      </c>
      <c r="L327" s="2">
        <f>'Merluza sur Artesanal'!J111</f>
        <v>9.7300000000000733</v>
      </c>
      <c r="M327" s="251">
        <f>'Merluza sur Artesanal'!K111</f>
        <v>0.48117734883224722</v>
      </c>
      <c r="N327" s="24" t="str">
        <f>'Merluza sur Artesanal'!L111</f>
        <v>-</v>
      </c>
      <c r="O327" s="278">
        <v>43465</v>
      </c>
    </row>
    <row r="328" spans="1:15" x14ac:dyDescent="0.25">
      <c r="A328" s="24" t="s">
        <v>403</v>
      </c>
      <c r="B328" s="24" t="s">
        <v>283</v>
      </c>
      <c r="C328" s="24" t="s">
        <v>142</v>
      </c>
      <c r="D328" s="24" t="s">
        <v>122</v>
      </c>
      <c r="E328" s="24" t="s">
        <v>405</v>
      </c>
      <c r="F328" s="24" t="s">
        <v>286</v>
      </c>
      <c r="G328" s="24" t="s">
        <v>288</v>
      </c>
      <c r="H328" s="2">
        <f>'Merluza sur Artesanal'!M110</f>
        <v>793.33399999999995</v>
      </c>
      <c r="I328" s="2">
        <f>'Merluza sur Artesanal'!N110</f>
        <v>-770.01899999999989</v>
      </c>
      <c r="J328" s="2">
        <f>'Merluza sur Artesanal'!O110</f>
        <v>23.315000000000055</v>
      </c>
      <c r="K328" s="2">
        <f>'Merluza sur Artesanal'!P110</f>
        <v>13.584999999999999</v>
      </c>
      <c r="L328" s="2">
        <f>'Merluza sur Artesanal'!Q110</f>
        <v>9.7300000000000555</v>
      </c>
      <c r="M328" s="251">
        <f>'Merluza sur Artesanal'!R110</f>
        <v>0.58267209950675392</v>
      </c>
      <c r="N328" s="24" t="s">
        <v>410</v>
      </c>
      <c r="O328" s="278">
        <v>43465</v>
      </c>
    </row>
    <row r="329" spans="1:15" x14ac:dyDescent="0.25">
      <c r="A329" s="57" t="s">
        <v>282</v>
      </c>
      <c r="B329" s="57" t="s">
        <v>283</v>
      </c>
      <c r="C329" s="57" t="s">
        <v>284</v>
      </c>
      <c r="D329" s="57" t="s">
        <v>406</v>
      </c>
      <c r="E329" s="252" t="s">
        <v>407</v>
      </c>
      <c r="F329" s="57" t="s">
        <v>286</v>
      </c>
      <c r="G329" s="57" t="s">
        <v>288</v>
      </c>
      <c r="H329" s="244">
        <f>'Resumen Periodo'!E18+'Resumen Periodo'!E19</f>
        <v>4948</v>
      </c>
      <c r="I329" s="244">
        <f>'Resumen Periodo'!F18+'Resumen Periodo'!F19</f>
        <v>8028.6790000000001</v>
      </c>
      <c r="J329" s="244">
        <f>'Resumen Periodo'!G18+'Resumen Periodo'!G19</f>
        <v>19434.508999999998</v>
      </c>
      <c r="K329" s="244">
        <f>'Resumen Periodo'!H18+'Resumen Periodo'!H19</f>
        <v>12806.317999999999</v>
      </c>
      <c r="L329" s="244">
        <f>'Resumen Periodo'!I18+'Resumen Periodo'!I19</f>
        <v>6628.1909999999998</v>
      </c>
      <c r="M329" s="245">
        <f>'Resumen Periodo'!J18+'Resumen Periodo'!J19</f>
        <v>1.0150330838852273</v>
      </c>
      <c r="N329" s="57" t="s">
        <v>410</v>
      </c>
      <c r="O329" s="278">
        <v>43465</v>
      </c>
    </row>
    <row r="330" spans="1:15" x14ac:dyDescent="0.25">
      <c r="A330" s="24" t="s">
        <v>291</v>
      </c>
      <c r="B330" s="24" t="s">
        <v>283</v>
      </c>
      <c r="C330" s="24" t="s">
        <v>292</v>
      </c>
      <c r="D330" s="24" t="s">
        <v>406</v>
      </c>
      <c r="E330" s="24" t="s">
        <v>407</v>
      </c>
      <c r="F330" s="24" t="s">
        <v>286</v>
      </c>
      <c r="G330" s="24" t="s">
        <v>288</v>
      </c>
      <c r="H330" s="2">
        <f>'Resumen Periodo'!E20+'Resumen Periodo'!E21</f>
        <v>3162.9989999999998</v>
      </c>
      <c r="I330" s="2">
        <f>'Resumen Periodo'!F20+'Resumen Periodo'!F21</f>
        <v>-2151.9929999999999</v>
      </c>
      <c r="J330" s="2">
        <f>'Resumen Periodo'!G20+'Resumen Periodo'!G21</f>
        <v>2117.1409999999996</v>
      </c>
      <c r="K330" s="2">
        <f>'Resumen Periodo'!H20+'Resumen Periodo'!H21</f>
        <v>977.00399999999991</v>
      </c>
      <c r="L330" s="2">
        <f>'Resumen Periodo'!I20+'Resumen Periodo'!I21</f>
        <v>1140.1369999999999</v>
      </c>
      <c r="M330" s="251">
        <f>'Resumen Periodo'!J20+'Resumen Periodo'!J21</f>
        <v>0.96712074377227442</v>
      </c>
      <c r="N330" s="24" t="s">
        <v>410</v>
      </c>
      <c r="O330" s="278">
        <v>43465</v>
      </c>
    </row>
    <row r="331" spans="1:15" x14ac:dyDescent="0.25">
      <c r="A331" s="24" t="s">
        <v>295</v>
      </c>
      <c r="B331" s="24" t="s">
        <v>283</v>
      </c>
      <c r="C331" s="24" t="s">
        <v>294</v>
      </c>
      <c r="D331" s="24" t="s">
        <v>408</v>
      </c>
      <c r="E331" s="24" t="s">
        <v>409</v>
      </c>
      <c r="F331" s="24" t="s">
        <v>286</v>
      </c>
      <c r="G331" s="24" t="s">
        <v>288</v>
      </c>
      <c r="H331" s="2">
        <f>'Resumen Anual'!D6</f>
        <v>6437</v>
      </c>
      <c r="I331" s="2">
        <f>'Resumen Anual'!E6</f>
        <v>-1265.0999999999999</v>
      </c>
      <c r="J331" s="2">
        <f>'Resumen Anual'!F6</f>
        <v>5171.8999999999996</v>
      </c>
      <c r="K331" s="2">
        <f>'Resumen Anual'!G6</f>
        <v>4963.0360000000001</v>
      </c>
      <c r="L331" s="2">
        <f>'Resumen Anual'!H6</f>
        <v>208.86399999999958</v>
      </c>
      <c r="M331" s="251">
        <f>'Resumen Anual'!I6</f>
        <v>0.95961561515110505</v>
      </c>
      <c r="N331" s="24" t="s">
        <v>410</v>
      </c>
      <c r="O331" s="278">
        <v>43465</v>
      </c>
    </row>
    <row r="332" spans="1:15" x14ac:dyDescent="0.25">
      <c r="A332" s="24" t="s">
        <v>310</v>
      </c>
      <c r="B332" s="24" t="s">
        <v>283</v>
      </c>
      <c r="C332" s="24" t="s">
        <v>311</v>
      </c>
      <c r="D332" s="24" t="s">
        <v>408</v>
      </c>
      <c r="E332" s="24" t="s">
        <v>409</v>
      </c>
      <c r="F332" s="24" t="s">
        <v>286</v>
      </c>
      <c r="G332" s="24" t="s">
        <v>288</v>
      </c>
      <c r="H332" s="2">
        <f>'Resumen Anual'!D7+'Resumen Anual'!D8+'Resumen Anual'!D9+'Resumen Anual'!D10</f>
        <v>3922.9990128357999</v>
      </c>
      <c r="I332" s="2">
        <f>'Resumen Anual'!E7</f>
        <v>-1037.5700000000002</v>
      </c>
      <c r="J332" s="2">
        <f>'Resumen Anual'!F7</f>
        <v>111.7015183666997</v>
      </c>
      <c r="K332" s="2">
        <f>'Resumen Anual'!G7</f>
        <v>102.506</v>
      </c>
      <c r="L332" s="2">
        <f>'Resumen Anual'!H7</f>
        <v>9.1955183666997016</v>
      </c>
      <c r="M332" s="251">
        <f>'Resumen Anual'!I7</f>
        <v>0.91767776749003394</v>
      </c>
      <c r="N332" s="24" t="s">
        <v>410</v>
      </c>
      <c r="O332" s="278">
        <v>43465</v>
      </c>
    </row>
    <row r="333" spans="1:15" x14ac:dyDescent="0.25">
      <c r="A333" s="24" t="s">
        <v>403</v>
      </c>
      <c r="B333" s="24" t="s">
        <v>283</v>
      </c>
      <c r="C333" s="24" t="s">
        <v>142</v>
      </c>
      <c r="D333" s="24" t="s">
        <v>408</v>
      </c>
      <c r="E333" s="253" t="s">
        <v>409</v>
      </c>
      <c r="F333" s="1" t="s">
        <v>286</v>
      </c>
      <c r="G333" s="1" t="s">
        <v>288</v>
      </c>
      <c r="H333" s="254">
        <f>'Resumen Anual'!D11</f>
        <v>1785</v>
      </c>
      <c r="I333" s="254">
        <f>'Resumen Anual'!E11</f>
        <v>-1740.3600000000001</v>
      </c>
      <c r="J333" s="254">
        <f>'Resumen Anual'!F11</f>
        <v>44.639999999999873</v>
      </c>
      <c r="K333" s="254">
        <f>'Resumen Anual'!G11</f>
        <v>28.17</v>
      </c>
      <c r="L333" s="254">
        <f>'Resumen Anual'!H11</f>
        <v>16.469999999999871</v>
      </c>
      <c r="M333" s="251">
        <f>'Resumen Anual'!I11</f>
        <v>0.63104838709677602</v>
      </c>
      <c r="N333" s="254" t="s">
        <v>410</v>
      </c>
      <c r="O333" s="278">
        <v>43465</v>
      </c>
    </row>
    <row r="334" spans="1:15" x14ac:dyDescent="0.25">
      <c r="A334" s="147" t="s">
        <v>418</v>
      </c>
      <c r="B334" s="147" t="s">
        <v>283</v>
      </c>
      <c r="C334" s="147" t="s">
        <v>419</v>
      </c>
      <c r="D334" s="147" t="s">
        <v>420</v>
      </c>
      <c r="E334" s="147" t="s">
        <v>420</v>
      </c>
      <c r="F334" s="147" t="s">
        <v>286</v>
      </c>
      <c r="G334" s="147" t="s">
        <v>288</v>
      </c>
      <c r="H334" s="147">
        <f>'Fuera UP'!E8</f>
        <v>11</v>
      </c>
      <c r="I334" s="147" t="s">
        <v>410</v>
      </c>
      <c r="J334" s="147">
        <f>H334</f>
        <v>11</v>
      </c>
      <c r="K334" s="147">
        <f>'Fuera UP'!H8</f>
        <v>9.5380000000000003</v>
      </c>
      <c r="L334" s="147">
        <f>'Fuera UP'!I8</f>
        <v>1.4619999999999997</v>
      </c>
      <c r="M334" s="288">
        <f>'Fuera UP'!J8</f>
        <v>0.86709090909090913</v>
      </c>
      <c r="N334" s="289">
        <f>'Fuera UP'!K8</f>
        <v>43111</v>
      </c>
      <c r="O334" s="278">
        <v>43465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Anual</vt:lpstr>
      <vt:lpstr>Resumen Periodo</vt:lpstr>
      <vt:lpstr>Merluza sur Artesanal</vt:lpstr>
      <vt:lpstr>Merluza sur Industrial</vt:lpstr>
      <vt:lpstr>Fuera UP</vt:lpstr>
      <vt:lpstr>Pag. Web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practicascc</dc:creator>
  <cp:lastModifiedBy>CEA TELLO, MARIO ANDRES</cp:lastModifiedBy>
  <dcterms:created xsi:type="dcterms:W3CDTF">2018-02-13T12:59:45Z</dcterms:created>
  <dcterms:modified xsi:type="dcterms:W3CDTF">2019-01-04T18:42:35Z</dcterms:modified>
</cp:coreProperties>
</file>