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2\1_Planillas_control_cuotas\"/>
    </mc:Choice>
  </mc:AlternateContent>
  <bookViews>
    <workbookView xWindow="-105" yWindow="-105" windowWidth="23250" windowHeight="12435" tabRatio="737"/>
  </bookViews>
  <sheets>
    <sheet name="RESUMEN" sheetId="4" r:id="rId1"/>
    <sheet name="ARTESANAL-INDUSTRIAL" sheetId="5" r:id="rId2"/>
    <sheet name="CUOTA INDUSTRIAL" sheetId="1" r:id="rId3"/>
    <sheet name="Publicacion Web" sheetId="6" r:id="rId4"/>
    <sheet name="Coeficientes" sheetId="8" state="hidden" r:id="rId5"/>
  </sheets>
  <definedNames>
    <definedName name="_xlnm._FilterDatabase" localSheetId="3" hidden="1">'Publicacion Web'!$A$1:$Q$103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 l="1"/>
  <c r="H86" i="1"/>
  <c r="F10" i="1" l="1"/>
  <c r="F86" i="1" l="1"/>
  <c r="F49" i="1"/>
  <c r="F29" i="1"/>
  <c r="F82" i="1"/>
  <c r="F80" i="1"/>
  <c r="F33" i="1"/>
  <c r="F11" i="1"/>
  <c r="F68" i="1"/>
  <c r="F25" i="1"/>
  <c r="F70" i="1"/>
  <c r="G70" i="1" s="1"/>
  <c r="E71" i="1"/>
  <c r="E70" i="1"/>
  <c r="K68" i="1"/>
  <c r="L68" i="1"/>
  <c r="M68" i="1"/>
  <c r="O68" i="1"/>
  <c r="N68" i="1"/>
  <c r="G68" i="1"/>
  <c r="P68" i="1"/>
  <c r="I68" i="1"/>
  <c r="G69" i="1"/>
  <c r="J68" i="1"/>
  <c r="I69" i="1"/>
  <c r="J69" i="1"/>
  <c r="F28" i="1"/>
  <c r="F48" i="1"/>
  <c r="F57" i="1"/>
  <c r="F9" i="1"/>
  <c r="F31" i="1"/>
  <c r="F52" i="1"/>
  <c r="F83" i="1"/>
  <c r="F66" i="1"/>
  <c r="G66" i="1"/>
  <c r="I66" i="1"/>
  <c r="G67" i="1"/>
  <c r="K66" i="1"/>
  <c r="L66" i="1"/>
  <c r="N66" i="1"/>
  <c r="H70" i="1"/>
  <c r="F61" i="1"/>
  <c r="F71" i="1"/>
  <c r="M66" i="1"/>
  <c r="J67" i="1"/>
  <c r="I67" i="1"/>
  <c r="J66" i="1"/>
  <c r="O66" i="1"/>
  <c r="P66" i="1"/>
  <c r="F76" i="1"/>
  <c r="F64" i="1"/>
  <c r="F60" i="1"/>
  <c r="K64" i="1"/>
  <c r="L64" i="1"/>
  <c r="N64" i="1"/>
  <c r="G64" i="1"/>
  <c r="I64" i="1"/>
  <c r="G65" i="1"/>
  <c r="I65" i="1"/>
  <c r="G62" i="1"/>
  <c r="J62" i="1"/>
  <c r="K62" i="1"/>
  <c r="L62" i="1"/>
  <c r="N62" i="1"/>
  <c r="I62" i="1"/>
  <c r="G63" i="1"/>
  <c r="M62" i="1"/>
  <c r="P62" i="1"/>
  <c r="J64" i="1"/>
  <c r="M64" i="1"/>
  <c r="O64" i="1"/>
  <c r="J65" i="1"/>
  <c r="I63" i="1"/>
  <c r="J63" i="1"/>
  <c r="O62" i="1"/>
  <c r="F77" i="1"/>
  <c r="F36" i="1"/>
  <c r="O74" i="6"/>
  <c r="O75" i="6"/>
  <c r="O76" i="6"/>
  <c r="O77" i="6"/>
  <c r="O78" i="6"/>
  <c r="O79" i="6"/>
  <c r="O80" i="6"/>
  <c r="O81" i="6"/>
  <c r="O82" i="6"/>
  <c r="O62" i="6"/>
  <c r="O63" i="6"/>
  <c r="O64" i="6"/>
  <c r="O65" i="6"/>
  <c r="O66" i="6"/>
  <c r="O67" i="6"/>
  <c r="O68" i="6"/>
  <c r="O69" i="6"/>
  <c r="O70" i="6"/>
  <c r="O44" i="6"/>
  <c r="O45" i="6"/>
  <c r="O46" i="6"/>
  <c r="O11" i="6"/>
  <c r="O12" i="6"/>
  <c r="O13" i="6"/>
  <c r="O14" i="6"/>
  <c r="O15" i="6"/>
  <c r="O16" i="6"/>
  <c r="O17" i="6"/>
  <c r="O18" i="6"/>
  <c r="O19" i="6"/>
  <c r="O20" i="6"/>
  <c r="O21" i="6"/>
  <c r="O22" i="6"/>
  <c r="I14" i="6"/>
  <c r="K74" i="6"/>
  <c r="K75" i="6"/>
  <c r="K77" i="6"/>
  <c r="K78" i="6"/>
  <c r="K80" i="6"/>
  <c r="K81" i="6"/>
  <c r="K62" i="6"/>
  <c r="K63" i="6"/>
  <c r="K65" i="6"/>
  <c r="K66" i="6"/>
  <c r="K68" i="6"/>
  <c r="K69" i="6"/>
  <c r="I63" i="6"/>
  <c r="I65" i="6"/>
  <c r="I66" i="6"/>
  <c r="I68" i="6"/>
  <c r="I69" i="6"/>
  <c r="K45" i="6"/>
  <c r="K20" i="6"/>
  <c r="K21" i="6"/>
  <c r="K17" i="6"/>
  <c r="K18" i="6"/>
  <c r="K14" i="6"/>
  <c r="K15" i="6"/>
  <c r="K11" i="6"/>
  <c r="K12" i="6"/>
  <c r="K44" i="6"/>
  <c r="I81" i="6"/>
  <c r="I80" i="6"/>
  <c r="I78" i="6"/>
  <c r="I77" i="6"/>
  <c r="I75" i="6"/>
  <c r="I74" i="6"/>
  <c r="I62" i="6"/>
  <c r="I45" i="6"/>
  <c r="I44" i="6"/>
  <c r="I21" i="6"/>
  <c r="I20" i="6"/>
  <c r="I18" i="6"/>
  <c r="I17" i="6"/>
  <c r="I15" i="6"/>
  <c r="I12" i="6"/>
  <c r="I11" i="6"/>
  <c r="H78" i="6"/>
  <c r="H77" i="6"/>
  <c r="H75" i="6"/>
  <c r="H74" i="6"/>
  <c r="H72" i="6"/>
  <c r="H71" i="6"/>
  <c r="H69" i="6"/>
  <c r="H68" i="6"/>
  <c r="H66" i="6"/>
  <c r="H65" i="6"/>
  <c r="H63" i="6"/>
  <c r="H62" i="6"/>
  <c r="H60" i="6"/>
  <c r="H59" i="6"/>
  <c r="H57" i="6"/>
  <c r="H56" i="6"/>
  <c r="H54" i="6"/>
  <c r="H53" i="6"/>
  <c r="H51" i="6"/>
  <c r="H50" i="6"/>
  <c r="H48" i="6"/>
  <c r="H47" i="6"/>
  <c r="H33" i="6"/>
  <c r="H32" i="6"/>
  <c r="H30" i="6"/>
  <c r="H29" i="6"/>
  <c r="K48" i="1"/>
  <c r="H64" i="6"/>
  <c r="H81" i="6"/>
  <c r="H80" i="6"/>
  <c r="H21" i="6"/>
  <c r="H20" i="6"/>
  <c r="H18" i="6"/>
  <c r="H17" i="6"/>
  <c r="H15" i="6"/>
  <c r="H14" i="6"/>
  <c r="H12" i="6"/>
  <c r="H11" i="6"/>
  <c r="K60" i="1"/>
  <c r="H82" i="6"/>
  <c r="L60" i="1"/>
  <c r="I82" i="6"/>
  <c r="N60" i="1"/>
  <c r="K82" i="6"/>
  <c r="G60" i="1"/>
  <c r="I60" i="1"/>
  <c r="G48" i="1"/>
  <c r="J62" i="6"/>
  <c r="K14" i="1"/>
  <c r="H13" i="6"/>
  <c r="L14" i="1"/>
  <c r="I13" i="6"/>
  <c r="N14" i="1"/>
  <c r="K16" i="1"/>
  <c r="L16" i="1"/>
  <c r="I16" i="6"/>
  <c r="N16" i="1"/>
  <c r="K16" i="6"/>
  <c r="K18" i="1"/>
  <c r="L18" i="1"/>
  <c r="I19" i="6"/>
  <c r="N18" i="1"/>
  <c r="K20" i="1"/>
  <c r="L20" i="1"/>
  <c r="I22" i="6"/>
  <c r="N20" i="1"/>
  <c r="K22" i="6"/>
  <c r="G20" i="1"/>
  <c r="I20" i="1"/>
  <c r="G18" i="1"/>
  <c r="J17" i="6"/>
  <c r="G16" i="1"/>
  <c r="I16" i="1"/>
  <c r="G14" i="1"/>
  <c r="J14" i="1"/>
  <c r="M11" i="6"/>
  <c r="H71" i="1"/>
  <c r="N70" i="1" s="1"/>
  <c r="E37" i="1"/>
  <c r="H45" i="6"/>
  <c r="E36" i="1"/>
  <c r="H44" i="6"/>
  <c r="M18" i="1"/>
  <c r="J19" i="6"/>
  <c r="J18" i="1"/>
  <c r="M17" i="6"/>
  <c r="I18" i="1"/>
  <c r="L17" i="6"/>
  <c r="M16" i="1"/>
  <c r="J16" i="6"/>
  <c r="J14" i="6"/>
  <c r="J20" i="6"/>
  <c r="M20" i="1"/>
  <c r="J22" i="6"/>
  <c r="L20" i="6"/>
  <c r="G21" i="1"/>
  <c r="O18" i="1"/>
  <c r="L19" i="6"/>
  <c r="L80" i="6"/>
  <c r="G61" i="1"/>
  <c r="G17" i="1"/>
  <c r="J15" i="6"/>
  <c r="L14" i="6"/>
  <c r="I14" i="1"/>
  <c r="P18" i="1"/>
  <c r="M19" i="6"/>
  <c r="M14" i="1"/>
  <c r="P14" i="1"/>
  <c r="M13" i="6"/>
  <c r="M60" i="1"/>
  <c r="P60" i="1"/>
  <c r="M82" i="6"/>
  <c r="H22" i="6"/>
  <c r="K19" i="6"/>
  <c r="J80" i="6"/>
  <c r="H19" i="6"/>
  <c r="J20" i="1"/>
  <c r="M20" i="6"/>
  <c r="J16" i="1"/>
  <c r="M14" i="6"/>
  <c r="J60" i="1"/>
  <c r="M80" i="6"/>
  <c r="J11" i="6"/>
  <c r="K13" i="6"/>
  <c r="H16" i="6"/>
  <c r="O16" i="1"/>
  <c r="L16" i="6"/>
  <c r="P16" i="1"/>
  <c r="M16" i="6"/>
  <c r="J21" i="1"/>
  <c r="M21" i="6"/>
  <c r="E35" i="1"/>
  <c r="H42" i="6"/>
  <c r="E34" i="1"/>
  <c r="H41" i="6"/>
  <c r="E33" i="1"/>
  <c r="H39" i="6"/>
  <c r="E32" i="1"/>
  <c r="H38" i="6"/>
  <c r="E31" i="1"/>
  <c r="H36" i="6"/>
  <c r="E30" i="1"/>
  <c r="H35" i="6"/>
  <c r="E25" i="1"/>
  <c r="E24" i="1"/>
  <c r="K70" i="1"/>
  <c r="G19" i="1"/>
  <c r="P20" i="1"/>
  <c r="M22" i="6"/>
  <c r="O20" i="1"/>
  <c r="L22" i="6"/>
  <c r="J17" i="1"/>
  <c r="M15" i="6"/>
  <c r="I17" i="1"/>
  <c r="L15" i="6"/>
  <c r="O14" i="1"/>
  <c r="L13" i="6"/>
  <c r="J13" i="6"/>
  <c r="O60" i="1"/>
  <c r="L82" i="6"/>
  <c r="J82" i="6"/>
  <c r="H26" i="6"/>
  <c r="H27" i="6"/>
  <c r="J61" i="1"/>
  <c r="M81" i="6"/>
  <c r="J81" i="6"/>
  <c r="I61" i="1"/>
  <c r="L81" i="6"/>
  <c r="I21" i="1"/>
  <c r="L21" i="6"/>
  <c r="J21" i="6"/>
  <c r="G15" i="1"/>
  <c r="L11" i="6"/>
  <c r="E11" i="4"/>
  <c r="E12" i="4"/>
  <c r="I19" i="1"/>
  <c r="L18" i="6"/>
  <c r="J18" i="6"/>
  <c r="J19" i="1"/>
  <c r="M18" i="6"/>
  <c r="J12" i="6"/>
  <c r="J15" i="1"/>
  <c r="M12" i="6"/>
  <c r="I15" i="1"/>
  <c r="L12" i="6"/>
  <c r="B4" i="1"/>
  <c r="G12" i="1"/>
  <c r="G22" i="1"/>
  <c r="G24" i="1"/>
  <c r="G26" i="1"/>
  <c r="G28" i="1"/>
  <c r="G30" i="1"/>
  <c r="G34" i="1"/>
  <c r="G38" i="1"/>
  <c r="G40" i="1"/>
  <c r="G42" i="1"/>
  <c r="G44" i="1"/>
  <c r="G46" i="1"/>
  <c r="G50" i="1"/>
  <c r="G52" i="1"/>
  <c r="J66" i="6"/>
  <c r="G54" i="1"/>
  <c r="J68" i="6"/>
  <c r="G58" i="1"/>
  <c r="J77" i="6"/>
  <c r="I58" i="1"/>
  <c r="K58" i="1"/>
  <c r="H79" i="6"/>
  <c r="N58" i="1"/>
  <c r="K79" i="6"/>
  <c r="G10" i="1"/>
  <c r="I10" i="1" s="1"/>
  <c r="G32" i="1"/>
  <c r="G59" i="1"/>
  <c r="J78" i="6"/>
  <c r="L77" i="6"/>
  <c r="I59" i="1"/>
  <c r="L78" i="6"/>
  <c r="L58" i="1"/>
  <c r="J58" i="1"/>
  <c r="M77" i="6"/>
  <c r="M58" i="1"/>
  <c r="P58" i="1"/>
  <c r="M79" i="6"/>
  <c r="I79" i="6"/>
  <c r="J59" i="1"/>
  <c r="M78" i="6"/>
  <c r="O58" i="1"/>
  <c r="L79" i="6"/>
  <c r="J79" i="6"/>
  <c r="K56" i="1"/>
  <c r="H76" i="6"/>
  <c r="N56" i="1"/>
  <c r="K76" i="6"/>
  <c r="G56" i="1"/>
  <c r="J74" i="6"/>
  <c r="J56" i="1"/>
  <c r="M74" i="6"/>
  <c r="I56" i="1"/>
  <c r="L56" i="1"/>
  <c r="G12" i="4"/>
  <c r="G57" i="1"/>
  <c r="L74" i="6"/>
  <c r="M56" i="1"/>
  <c r="I76" i="6"/>
  <c r="J57" i="1"/>
  <c r="M75" i="6"/>
  <c r="O56" i="1"/>
  <c r="L76" i="6"/>
  <c r="J76" i="6"/>
  <c r="P56" i="1"/>
  <c r="M76" i="6"/>
  <c r="I57" i="1"/>
  <c r="L75" i="6"/>
  <c r="J75" i="6"/>
  <c r="G36" i="1"/>
  <c r="J44" i="6"/>
  <c r="H87" i="1"/>
  <c r="J87" i="1" s="1"/>
  <c r="J11" i="5" s="1"/>
  <c r="F87" i="1"/>
  <c r="F88" i="1"/>
  <c r="H88" i="1"/>
  <c r="O3" i="6"/>
  <c r="O4" i="6"/>
  <c r="O5" i="6"/>
  <c r="O6" i="6"/>
  <c r="O7" i="6"/>
  <c r="O8" i="6"/>
  <c r="O9" i="6"/>
  <c r="O10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71" i="6"/>
  <c r="O72" i="6"/>
  <c r="O73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2" i="6"/>
  <c r="G11" i="4"/>
  <c r="G14" i="5"/>
  <c r="F12" i="4"/>
  <c r="F13" i="4"/>
  <c r="I13" i="4"/>
  <c r="H13" i="4"/>
  <c r="J14" i="5"/>
  <c r="I12" i="4"/>
  <c r="F12" i="5"/>
  <c r="F11" i="5"/>
  <c r="F10" i="5"/>
  <c r="H10" i="5"/>
  <c r="H9" i="5"/>
  <c r="E88" i="1"/>
  <c r="E87" i="1"/>
  <c r="L87" i="1"/>
  <c r="I102" i="6"/>
  <c r="E10" i="4"/>
  <c r="E12" i="5"/>
  <c r="K87" i="1"/>
  <c r="H102" i="6"/>
  <c r="G87" i="1"/>
  <c r="E9" i="5"/>
  <c r="E10" i="5"/>
  <c r="E11" i="5"/>
  <c r="D10" i="4"/>
  <c r="M87" i="1"/>
  <c r="J102" i="6"/>
  <c r="D9" i="4"/>
  <c r="G11" i="5"/>
  <c r="H83" i="6"/>
  <c r="K50" i="1"/>
  <c r="H67" i="6"/>
  <c r="L50" i="1"/>
  <c r="I67" i="6"/>
  <c r="N50" i="1"/>
  <c r="K67" i="6"/>
  <c r="K52" i="1"/>
  <c r="H70" i="6"/>
  <c r="L52" i="1"/>
  <c r="I70" i="6"/>
  <c r="N52" i="1"/>
  <c r="K70" i="6"/>
  <c r="J50" i="1"/>
  <c r="J52" i="1"/>
  <c r="M66" i="6"/>
  <c r="M52" i="1"/>
  <c r="M50" i="1"/>
  <c r="I52" i="1"/>
  <c r="I50" i="1"/>
  <c r="G51" i="1"/>
  <c r="J48" i="1"/>
  <c r="M62" i="6"/>
  <c r="J51" i="1"/>
  <c r="M65" i="6"/>
  <c r="J65" i="6"/>
  <c r="O52" i="1"/>
  <c r="L70" i="6"/>
  <c r="J70" i="6"/>
  <c r="G53" i="1"/>
  <c r="J53" i="1"/>
  <c r="L66" i="6"/>
  <c r="O50" i="1"/>
  <c r="L67" i="6"/>
  <c r="J67" i="6"/>
  <c r="I51" i="1"/>
  <c r="L65" i="6"/>
  <c r="P52" i="1"/>
  <c r="M70" i="6"/>
  <c r="P50" i="1"/>
  <c r="M67" i="6"/>
  <c r="D13" i="8"/>
  <c r="I53" i="1"/>
  <c r="I48" i="1"/>
  <c r="L48" i="1"/>
  <c r="I64" i="6"/>
  <c r="N48" i="1"/>
  <c r="K64" i="6"/>
  <c r="L62" i="6"/>
  <c r="G49" i="1"/>
  <c r="J63" i="6"/>
  <c r="M48" i="1"/>
  <c r="J49" i="1"/>
  <c r="M63" i="6"/>
  <c r="I49" i="1"/>
  <c r="L63" i="6"/>
  <c r="O48" i="1"/>
  <c r="L64" i="6"/>
  <c r="J64" i="6"/>
  <c r="P48" i="1"/>
  <c r="M64" i="6"/>
  <c r="N79" i="1"/>
  <c r="G79" i="1"/>
  <c r="I79" i="1"/>
  <c r="G80" i="1"/>
  <c r="I80" i="1"/>
  <c r="I60" i="6"/>
  <c r="K60" i="6"/>
  <c r="I59" i="6"/>
  <c r="K59" i="6"/>
  <c r="E60" i="6"/>
  <c r="E61" i="6"/>
  <c r="E59" i="6"/>
  <c r="N46" i="1"/>
  <c r="L46" i="1"/>
  <c r="I61" i="6"/>
  <c r="K46" i="1"/>
  <c r="H61" i="6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F46" i="8"/>
  <c r="J46" i="1"/>
  <c r="M59" i="6"/>
  <c r="F43" i="8"/>
  <c r="K61" i="6"/>
  <c r="F45" i="8"/>
  <c r="I13" i="8"/>
  <c r="F17" i="8"/>
  <c r="F19" i="8"/>
  <c r="F21" i="8"/>
  <c r="F23" i="8"/>
  <c r="F25" i="8"/>
  <c r="F27" i="8"/>
  <c r="F33" i="8"/>
  <c r="F35" i="8"/>
  <c r="F16" i="8"/>
  <c r="F24" i="8"/>
  <c r="F42" i="8"/>
  <c r="I46" i="1"/>
  <c r="G47" i="1"/>
  <c r="M46" i="1"/>
  <c r="O46" i="1"/>
  <c r="L61" i="6"/>
  <c r="J59" i="6"/>
  <c r="F15" i="8"/>
  <c r="F31" i="8"/>
  <c r="F13" i="8"/>
  <c r="F22" i="8"/>
  <c r="F28" i="8"/>
  <c r="F32" i="8"/>
  <c r="F26" i="8"/>
  <c r="F44" i="8"/>
  <c r="F14" i="8"/>
  <c r="F30" i="8"/>
  <c r="E36" i="8"/>
  <c r="F18" i="8"/>
  <c r="F20" i="8"/>
  <c r="F29" i="8"/>
  <c r="F34" i="8"/>
  <c r="E48" i="8"/>
  <c r="F47" i="8"/>
  <c r="D48" i="8"/>
  <c r="J13" i="8"/>
  <c r="D36" i="8"/>
  <c r="J47" i="1"/>
  <c r="I47" i="1"/>
  <c r="L59" i="6"/>
  <c r="J61" i="6"/>
  <c r="P46" i="1"/>
  <c r="M61" i="6"/>
  <c r="K13" i="8"/>
  <c r="F48" i="8"/>
  <c r="F36" i="8"/>
  <c r="E100" i="6"/>
  <c r="E101" i="6"/>
  <c r="E99" i="6"/>
  <c r="E97" i="6"/>
  <c r="E98" i="6"/>
  <c r="E96" i="6"/>
  <c r="E94" i="6"/>
  <c r="E95" i="6"/>
  <c r="E93" i="6"/>
  <c r="E91" i="6"/>
  <c r="E92" i="6"/>
  <c r="E90" i="6"/>
  <c r="E88" i="6"/>
  <c r="E89" i="6"/>
  <c r="E87" i="6"/>
  <c r="E85" i="6"/>
  <c r="E86" i="6"/>
  <c r="E84" i="6"/>
  <c r="I71" i="6"/>
  <c r="K71" i="6"/>
  <c r="I72" i="6"/>
  <c r="K72" i="6"/>
  <c r="E72" i="6"/>
  <c r="E73" i="6"/>
  <c r="E71" i="6"/>
  <c r="E57" i="6"/>
  <c r="E58" i="6"/>
  <c r="E56" i="6"/>
  <c r="E54" i="6"/>
  <c r="E55" i="6"/>
  <c r="E53" i="6"/>
  <c r="E51" i="6"/>
  <c r="E52" i="6"/>
  <c r="E50" i="6"/>
  <c r="E47" i="6"/>
  <c r="E48" i="6"/>
  <c r="E49" i="6"/>
  <c r="E42" i="6"/>
  <c r="E43" i="6"/>
  <c r="E41" i="6"/>
  <c r="E39" i="6"/>
  <c r="E40" i="6"/>
  <c r="E38" i="6"/>
  <c r="E36" i="6"/>
  <c r="E37" i="6"/>
  <c r="E35" i="6"/>
  <c r="E33" i="6"/>
  <c r="E34" i="6"/>
  <c r="E32" i="6"/>
  <c r="E29" i="6"/>
  <c r="E30" i="6"/>
  <c r="E31" i="6"/>
  <c r="E26" i="6"/>
  <c r="E27" i="6"/>
  <c r="E28" i="6"/>
  <c r="E24" i="6"/>
  <c r="E25" i="6"/>
  <c r="E23" i="6"/>
  <c r="E9" i="6"/>
  <c r="E10" i="6"/>
  <c r="E8" i="6"/>
  <c r="E6" i="6"/>
  <c r="E7" i="6"/>
  <c r="E5" i="6"/>
  <c r="E3" i="6"/>
  <c r="E4" i="6"/>
  <c r="E2" i="6"/>
  <c r="K100" i="6"/>
  <c r="L60" i="6"/>
  <c r="J60" i="6"/>
  <c r="M60" i="6"/>
  <c r="J28" i="1"/>
  <c r="N54" i="1"/>
  <c r="L54" i="1"/>
  <c r="I73" i="6"/>
  <c r="K54" i="1"/>
  <c r="H73" i="6"/>
  <c r="K73" i="6"/>
  <c r="M54" i="1"/>
  <c r="P54" i="1"/>
  <c r="O54" i="1"/>
  <c r="L73" i="6"/>
  <c r="J73" i="6"/>
  <c r="M73" i="6"/>
  <c r="I30" i="6"/>
  <c r="I91" i="6"/>
  <c r="I88" i="6"/>
  <c r="I3" i="6"/>
  <c r="K103" i="6"/>
  <c r="I103" i="6"/>
  <c r="H103" i="6"/>
  <c r="I100" i="6"/>
  <c r="H100" i="6"/>
  <c r="K99" i="6"/>
  <c r="I99" i="6"/>
  <c r="H99" i="6"/>
  <c r="K97" i="6"/>
  <c r="I97" i="6"/>
  <c r="H97" i="6"/>
  <c r="K96" i="6"/>
  <c r="I96" i="6"/>
  <c r="H96" i="6"/>
  <c r="K94" i="6"/>
  <c r="I94" i="6"/>
  <c r="H94" i="6"/>
  <c r="K93" i="6"/>
  <c r="I93" i="6"/>
  <c r="H93" i="6"/>
  <c r="K91" i="6"/>
  <c r="H91" i="6"/>
  <c r="K90" i="6"/>
  <c r="I90" i="6"/>
  <c r="H90" i="6"/>
  <c r="K88" i="6"/>
  <c r="H88" i="6"/>
  <c r="K87" i="6"/>
  <c r="I87" i="6"/>
  <c r="H87" i="6"/>
  <c r="M85" i="6"/>
  <c r="K85" i="6"/>
  <c r="I85" i="6"/>
  <c r="H85" i="6"/>
  <c r="M84" i="6"/>
  <c r="K84" i="6"/>
  <c r="I84" i="6"/>
  <c r="H84" i="6"/>
  <c r="K57" i="6"/>
  <c r="I57" i="6"/>
  <c r="K56" i="6"/>
  <c r="I56" i="6"/>
  <c r="K54" i="6"/>
  <c r="I54" i="6"/>
  <c r="K53" i="6"/>
  <c r="I53" i="6"/>
  <c r="K51" i="6"/>
  <c r="I51" i="6"/>
  <c r="K50" i="6"/>
  <c r="I50" i="6"/>
  <c r="K48" i="6"/>
  <c r="I48" i="6"/>
  <c r="K47" i="6"/>
  <c r="I47" i="6"/>
  <c r="K42" i="6"/>
  <c r="I42" i="6"/>
  <c r="K41" i="6"/>
  <c r="I41" i="6"/>
  <c r="K39" i="6"/>
  <c r="I39" i="6"/>
  <c r="K38" i="6"/>
  <c r="I38" i="6"/>
  <c r="K36" i="6"/>
  <c r="I36" i="6"/>
  <c r="K35" i="6"/>
  <c r="I35" i="6"/>
  <c r="K33" i="6"/>
  <c r="I33" i="6"/>
  <c r="K32" i="6"/>
  <c r="I32" i="6"/>
  <c r="K30" i="6"/>
  <c r="K29" i="6"/>
  <c r="I29" i="6"/>
  <c r="K27" i="6"/>
  <c r="I27" i="6"/>
  <c r="K26" i="6"/>
  <c r="I26" i="6"/>
  <c r="K24" i="6"/>
  <c r="I24" i="6"/>
  <c r="H24" i="6"/>
  <c r="K23" i="6"/>
  <c r="I23" i="6"/>
  <c r="H23" i="6"/>
  <c r="K9" i="6"/>
  <c r="I9" i="6"/>
  <c r="H9" i="6"/>
  <c r="K8" i="6"/>
  <c r="I8" i="6"/>
  <c r="K6" i="6"/>
  <c r="I6" i="6"/>
  <c r="H6" i="6"/>
  <c r="K5" i="6"/>
  <c r="I5" i="6"/>
  <c r="H5" i="6"/>
  <c r="K3" i="6"/>
  <c r="H3" i="6"/>
  <c r="K2" i="6"/>
  <c r="I2" i="6"/>
  <c r="H2" i="6"/>
  <c r="N85" i="1"/>
  <c r="K101" i="6" s="1"/>
  <c r="L85" i="1"/>
  <c r="I101" i="6"/>
  <c r="K85" i="1"/>
  <c r="H101" i="6"/>
  <c r="G85" i="1"/>
  <c r="J99" i="6"/>
  <c r="N83" i="1"/>
  <c r="K98" i="6"/>
  <c r="L83" i="1"/>
  <c r="I98" i="6"/>
  <c r="K83" i="1"/>
  <c r="G83" i="1"/>
  <c r="J96" i="6"/>
  <c r="N81" i="1"/>
  <c r="L81" i="1"/>
  <c r="I95" i="6"/>
  <c r="K81" i="1"/>
  <c r="H95" i="6"/>
  <c r="G81" i="1"/>
  <c r="J93" i="6"/>
  <c r="K92" i="6"/>
  <c r="L79" i="1"/>
  <c r="K79" i="1"/>
  <c r="H92" i="6"/>
  <c r="N77" i="1"/>
  <c r="K89" i="6"/>
  <c r="L77" i="1"/>
  <c r="I89" i="6"/>
  <c r="K77" i="1"/>
  <c r="H89" i="6"/>
  <c r="G77" i="1"/>
  <c r="J77" i="1"/>
  <c r="M90" i="6"/>
  <c r="N75" i="1"/>
  <c r="L75" i="1"/>
  <c r="I86" i="6"/>
  <c r="K75" i="1"/>
  <c r="G75" i="1"/>
  <c r="J75" i="1"/>
  <c r="M87" i="6"/>
  <c r="N44" i="1"/>
  <c r="L44" i="1"/>
  <c r="I58" i="6"/>
  <c r="K44" i="1"/>
  <c r="H58" i="6"/>
  <c r="N42" i="1"/>
  <c r="L42" i="1"/>
  <c r="I55" i="6"/>
  <c r="K42" i="1"/>
  <c r="H55" i="6"/>
  <c r="N40" i="1"/>
  <c r="L40" i="1"/>
  <c r="I52" i="6"/>
  <c r="K40" i="1"/>
  <c r="H52" i="6"/>
  <c r="N38" i="1"/>
  <c r="L38" i="1"/>
  <c r="I49" i="6"/>
  <c r="K38" i="1"/>
  <c r="H49" i="6"/>
  <c r="N36" i="1"/>
  <c r="K46" i="6"/>
  <c r="L36" i="1"/>
  <c r="I46" i="6"/>
  <c r="K36" i="1"/>
  <c r="H46" i="6"/>
  <c r="N34" i="1"/>
  <c r="L34" i="1"/>
  <c r="I43" i="6"/>
  <c r="K34" i="1"/>
  <c r="H43" i="6"/>
  <c r="N32" i="1"/>
  <c r="L32" i="1"/>
  <c r="I40" i="6"/>
  <c r="K32" i="1"/>
  <c r="H40" i="6"/>
  <c r="N30" i="1"/>
  <c r="L30" i="1"/>
  <c r="I37" i="6"/>
  <c r="K30" i="1"/>
  <c r="H37" i="6"/>
  <c r="N28" i="1"/>
  <c r="L28" i="1"/>
  <c r="I34" i="6"/>
  <c r="K28" i="1"/>
  <c r="H34" i="6"/>
  <c r="J32" i="6"/>
  <c r="N26" i="1"/>
  <c r="L26" i="1"/>
  <c r="I31" i="6"/>
  <c r="K26" i="1"/>
  <c r="H31" i="6"/>
  <c r="N24" i="1"/>
  <c r="L24" i="1"/>
  <c r="I28" i="6"/>
  <c r="K24" i="1"/>
  <c r="H28" i="6"/>
  <c r="N22" i="1"/>
  <c r="L22" i="1"/>
  <c r="I25" i="6"/>
  <c r="K22" i="1"/>
  <c r="H25" i="6"/>
  <c r="N12" i="1"/>
  <c r="L12" i="1"/>
  <c r="I10" i="6"/>
  <c r="N10" i="1"/>
  <c r="L10" i="1"/>
  <c r="I7" i="6"/>
  <c r="K10" i="1"/>
  <c r="H7" i="6"/>
  <c r="N8" i="1"/>
  <c r="K8" i="1"/>
  <c r="G8" i="1"/>
  <c r="J8" i="1"/>
  <c r="M2" i="6"/>
  <c r="G13" i="5"/>
  <c r="B5" i="5"/>
  <c r="L8" i="1"/>
  <c r="H98" i="6"/>
  <c r="M83" i="1"/>
  <c r="J13" i="5"/>
  <c r="F11" i="4"/>
  <c r="I22" i="1"/>
  <c r="J22" i="1"/>
  <c r="M23" i="6"/>
  <c r="J29" i="6"/>
  <c r="J26" i="1"/>
  <c r="M29" i="6"/>
  <c r="J35" i="6"/>
  <c r="J30" i="1"/>
  <c r="M35" i="6"/>
  <c r="J36" i="1"/>
  <c r="M44" i="6"/>
  <c r="J38" i="6"/>
  <c r="J32" i="1"/>
  <c r="M38" i="6"/>
  <c r="J53" i="6"/>
  <c r="J42" i="1"/>
  <c r="M53" i="6"/>
  <c r="K58" i="6"/>
  <c r="K86" i="6"/>
  <c r="J56" i="6"/>
  <c r="J44" i="1"/>
  <c r="M56" i="6"/>
  <c r="J26" i="6"/>
  <c r="J24" i="1"/>
  <c r="M26" i="6"/>
  <c r="J41" i="6"/>
  <c r="J34" i="1"/>
  <c r="M41" i="6"/>
  <c r="J38" i="1"/>
  <c r="M47" i="6"/>
  <c r="J50" i="6"/>
  <c r="J40" i="1"/>
  <c r="M50" i="6"/>
  <c r="J10" i="1"/>
  <c r="M5" i="6" s="1"/>
  <c r="K55" i="6"/>
  <c r="J71" i="6"/>
  <c r="J54" i="1"/>
  <c r="K7" i="6"/>
  <c r="K10" i="6"/>
  <c r="K25" i="6"/>
  <c r="K28" i="6"/>
  <c r="K31" i="6"/>
  <c r="K34" i="6"/>
  <c r="K37" i="6"/>
  <c r="K40" i="6"/>
  <c r="K43" i="6"/>
  <c r="K49" i="6"/>
  <c r="K52" i="6"/>
  <c r="I36" i="1"/>
  <c r="J47" i="6"/>
  <c r="M34" i="1"/>
  <c r="J43" i="6"/>
  <c r="M28" i="1"/>
  <c r="J34" i="6"/>
  <c r="M30" i="1"/>
  <c r="J37" i="6"/>
  <c r="H4" i="6"/>
  <c r="K4" i="6"/>
  <c r="I92" i="6"/>
  <c r="M79" i="1"/>
  <c r="O79" i="1"/>
  <c r="L92" i="6" s="1"/>
  <c r="I34" i="1"/>
  <c r="I40" i="1"/>
  <c r="G41" i="1"/>
  <c r="K12" i="1"/>
  <c r="H10" i="6"/>
  <c r="M36" i="1"/>
  <c r="M40" i="1"/>
  <c r="O40" i="1"/>
  <c r="L52" i="6"/>
  <c r="M24" i="1"/>
  <c r="J28" i="6"/>
  <c r="K95" i="6"/>
  <c r="M44" i="1"/>
  <c r="J58" i="6"/>
  <c r="I83" i="1"/>
  <c r="I54" i="1"/>
  <c r="L68" i="6"/>
  <c r="J83" i="1"/>
  <c r="I38" i="1"/>
  <c r="G39" i="1"/>
  <c r="H8" i="6"/>
  <c r="I42" i="1"/>
  <c r="I24" i="1"/>
  <c r="G25" i="1"/>
  <c r="J2" i="6"/>
  <c r="I8" i="1"/>
  <c r="G9" i="1"/>
  <c r="I14" i="5"/>
  <c r="H12" i="4"/>
  <c r="I13" i="5"/>
  <c r="H11" i="4"/>
  <c r="J103" i="6"/>
  <c r="M85" i="1"/>
  <c r="O85" i="1"/>
  <c r="L101" i="6" s="1"/>
  <c r="I4" i="6"/>
  <c r="M32" i="1"/>
  <c r="J40" i="6"/>
  <c r="M42" i="1"/>
  <c r="P42" i="1"/>
  <c r="M8" i="1"/>
  <c r="J23" i="6"/>
  <c r="M26" i="1"/>
  <c r="O26" i="1"/>
  <c r="L31" i="6"/>
  <c r="I32" i="1"/>
  <c r="M10" i="1"/>
  <c r="O10" i="1" s="1"/>
  <c r="L7" i="6" s="1"/>
  <c r="M22" i="1"/>
  <c r="P22" i="1"/>
  <c r="I26" i="1"/>
  <c r="M32" i="6"/>
  <c r="I28" i="1"/>
  <c r="M38" i="1"/>
  <c r="P38" i="1"/>
  <c r="I30" i="1"/>
  <c r="I44" i="1"/>
  <c r="G45" i="1"/>
  <c r="J85" i="1"/>
  <c r="M101" i="6"/>
  <c r="I85" i="1"/>
  <c r="J81" i="1"/>
  <c r="M96" i="6" s="1"/>
  <c r="I81" i="1"/>
  <c r="L93" i="6" s="1"/>
  <c r="L90" i="6"/>
  <c r="J79" i="1"/>
  <c r="M93" i="6"/>
  <c r="J90" i="6"/>
  <c r="M81" i="1"/>
  <c r="O81" i="1"/>
  <c r="L95" i="6" s="1"/>
  <c r="I77" i="1"/>
  <c r="M77" i="1"/>
  <c r="J87" i="6"/>
  <c r="I75" i="1"/>
  <c r="J84" i="6"/>
  <c r="H86" i="6"/>
  <c r="M75" i="1"/>
  <c r="M86" i="6"/>
  <c r="G9" i="4"/>
  <c r="O36" i="1"/>
  <c r="L46" i="6"/>
  <c r="J46" i="6"/>
  <c r="G37" i="1"/>
  <c r="J45" i="6"/>
  <c r="L44" i="6"/>
  <c r="M71" i="6"/>
  <c r="M68" i="6"/>
  <c r="L23" i="6"/>
  <c r="G23" i="1"/>
  <c r="G33" i="1"/>
  <c r="J33" i="1"/>
  <c r="M39" i="6"/>
  <c r="G27" i="1"/>
  <c r="J27" i="1"/>
  <c r="M30" i="6"/>
  <c r="L71" i="6"/>
  <c r="G55" i="1"/>
  <c r="J69" i="6"/>
  <c r="G31" i="1"/>
  <c r="J31" i="1"/>
  <c r="G29" i="1"/>
  <c r="J29" i="1"/>
  <c r="L53" i="6"/>
  <c r="G43" i="1"/>
  <c r="J43" i="1"/>
  <c r="L41" i="6"/>
  <c r="G35" i="1"/>
  <c r="M103" i="6"/>
  <c r="I11" i="4"/>
  <c r="F10" i="4"/>
  <c r="M46" i="6"/>
  <c r="J12" i="1"/>
  <c r="M8" i="6"/>
  <c r="P34" i="1"/>
  <c r="M43" i="6"/>
  <c r="P28" i="1"/>
  <c r="M34" i="6" s="1"/>
  <c r="P40" i="1"/>
  <c r="M52" i="6"/>
  <c r="P32" i="1"/>
  <c r="M40" i="6"/>
  <c r="P26" i="1"/>
  <c r="M31" i="6"/>
  <c r="P30" i="1"/>
  <c r="M37" i="6"/>
  <c r="P24" i="1"/>
  <c r="M28" i="6"/>
  <c r="P44" i="1"/>
  <c r="M58" i="6"/>
  <c r="J39" i="1"/>
  <c r="M48" i="6"/>
  <c r="I37" i="1"/>
  <c r="L45" i="6"/>
  <c r="J37" i="1"/>
  <c r="M45" i="6"/>
  <c r="J51" i="6"/>
  <c r="J41" i="1"/>
  <c r="M51" i="6"/>
  <c r="O32" i="1"/>
  <c r="L40" i="6"/>
  <c r="J55" i="6"/>
  <c r="M55" i="6"/>
  <c r="O34" i="1"/>
  <c r="L43" i="6"/>
  <c r="M12" i="1"/>
  <c r="P12" i="1"/>
  <c r="E15" i="5"/>
  <c r="O28" i="1"/>
  <c r="L34" i="6" s="1"/>
  <c r="O30" i="1"/>
  <c r="L37" i="6"/>
  <c r="O24" i="1"/>
  <c r="L28" i="6"/>
  <c r="L50" i="6"/>
  <c r="J52" i="6"/>
  <c r="I12" i="1"/>
  <c r="O8" i="1"/>
  <c r="L4" i="6"/>
  <c r="J92" i="6"/>
  <c r="P79" i="1"/>
  <c r="M92" i="6" s="1"/>
  <c r="J8" i="6"/>
  <c r="J101" i="6"/>
  <c r="O83" i="1"/>
  <c r="L98" i="6"/>
  <c r="J98" i="6"/>
  <c r="I41" i="1"/>
  <c r="L51" i="6"/>
  <c r="O44" i="1"/>
  <c r="L58" i="6"/>
  <c r="P8" i="1"/>
  <c r="M4" i="6"/>
  <c r="J4" i="6"/>
  <c r="L47" i="6"/>
  <c r="J25" i="1"/>
  <c r="L26" i="6"/>
  <c r="M99" i="6"/>
  <c r="M98" i="6"/>
  <c r="J31" i="6"/>
  <c r="G84" i="1"/>
  <c r="L96" i="6"/>
  <c r="L2" i="6"/>
  <c r="L103" i="6"/>
  <c r="I39" i="1"/>
  <c r="L48" i="6"/>
  <c r="J48" i="6"/>
  <c r="O42" i="1"/>
  <c r="L55" i="6"/>
  <c r="L56" i="6"/>
  <c r="J45" i="1"/>
  <c r="J7" i="6"/>
  <c r="L35" i="6"/>
  <c r="O38" i="1"/>
  <c r="L49" i="6"/>
  <c r="J49" i="6"/>
  <c r="M49" i="6"/>
  <c r="L32" i="6"/>
  <c r="L29" i="6"/>
  <c r="J25" i="6"/>
  <c r="O22" i="1"/>
  <c r="L25" i="6"/>
  <c r="M25" i="6"/>
  <c r="L38" i="6"/>
  <c r="L99" i="6"/>
  <c r="G86" i="1"/>
  <c r="J80" i="1"/>
  <c r="M94" i="6" s="1"/>
  <c r="J91" i="6"/>
  <c r="L91" i="6"/>
  <c r="P81" i="1"/>
  <c r="M95" i="6" s="1"/>
  <c r="J95" i="6"/>
  <c r="L87" i="6"/>
  <c r="G78" i="1"/>
  <c r="I78" i="1"/>
  <c r="O77" i="1"/>
  <c r="L89" i="6"/>
  <c r="J89" i="6"/>
  <c r="P77" i="1"/>
  <c r="M89" i="6"/>
  <c r="O75" i="1"/>
  <c r="J86" i="6"/>
  <c r="L84" i="6"/>
  <c r="G76" i="1"/>
  <c r="M88" i="6"/>
  <c r="J23" i="1"/>
  <c r="M24" i="6"/>
  <c r="I23" i="1"/>
  <c r="L24" i="6"/>
  <c r="J24" i="6"/>
  <c r="J55" i="1"/>
  <c r="I55" i="1"/>
  <c r="J72" i="6"/>
  <c r="G13" i="1"/>
  <c r="J13" i="1"/>
  <c r="M9" i="6"/>
  <c r="I9" i="1"/>
  <c r="L3" i="6"/>
  <c r="J9" i="1"/>
  <c r="M3" i="6"/>
  <c r="I35" i="1"/>
  <c r="L42" i="6"/>
  <c r="J35" i="1"/>
  <c r="M42" i="6"/>
  <c r="J10" i="6"/>
  <c r="M10" i="6"/>
  <c r="J42" i="6"/>
  <c r="L8" i="6"/>
  <c r="O12" i="1"/>
  <c r="L10" i="6"/>
  <c r="J3" i="6"/>
  <c r="J54" i="6"/>
  <c r="I43" i="1"/>
  <c r="L54" i="6"/>
  <c r="M54" i="6"/>
  <c r="J27" i="6"/>
  <c r="M27" i="6"/>
  <c r="I25" i="1"/>
  <c r="L27" i="6"/>
  <c r="J97" i="6"/>
  <c r="M100" i="6"/>
  <c r="I84" i="1"/>
  <c r="L97" i="6"/>
  <c r="I27" i="1"/>
  <c r="L30" i="6"/>
  <c r="J30" i="6"/>
  <c r="J36" i="6"/>
  <c r="I31" i="1"/>
  <c r="L36" i="6"/>
  <c r="M36" i="6"/>
  <c r="M57" i="6"/>
  <c r="I45" i="1"/>
  <c r="L57" i="6"/>
  <c r="J57" i="6"/>
  <c r="I33" i="1"/>
  <c r="L39" i="6"/>
  <c r="J39" i="6"/>
  <c r="J33" i="6"/>
  <c r="I29" i="1"/>
  <c r="L33" i="6"/>
  <c r="M33" i="6"/>
  <c r="J100" i="6"/>
  <c r="J86" i="1"/>
  <c r="I86" i="1"/>
  <c r="L100" i="6" s="1"/>
  <c r="J78" i="1"/>
  <c r="M91" i="6"/>
  <c r="L88" i="6"/>
  <c r="J88" i="6"/>
  <c r="I76" i="1"/>
  <c r="L85" i="6"/>
  <c r="J85" i="6"/>
  <c r="L86" i="6"/>
  <c r="M72" i="6"/>
  <c r="M69" i="6"/>
  <c r="L72" i="6"/>
  <c r="L69" i="6"/>
  <c r="J9" i="6"/>
  <c r="I13" i="1"/>
  <c r="L9" i="6"/>
  <c r="D14" i="4"/>
  <c r="G82" i="1" l="1"/>
  <c r="I82" i="1" s="1"/>
  <c r="L94" i="6" s="1"/>
  <c r="H11" i="5"/>
  <c r="N87" i="1"/>
  <c r="P87" i="1" s="1"/>
  <c r="M102" i="6" s="1"/>
  <c r="I87" i="1"/>
  <c r="H12" i="5"/>
  <c r="P85" i="1"/>
  <c r="G11" i="1"/>
  <c r="L5" i="6"/>
  <c r="J5" i="6"/>
  <c r="P10" i="1"/>
  <c r="M7" i="6" s="1"/>
  <c r="I70" i="1"/>
  <c r="J70" i="1"/>
  <c r="J9" i="5" s="1"/>
  <c r="G9" i="5"/>
  <c r="I11" i="1"/>
  <c r="L6" i="6" s="1"/>
  <c r="J6" i="6"/>
  <c r="J11" i="1"/>
  <c r="M6" i="6" s="1"/>
  <c r="F9" i="5"/>
  <c r="L70" i="1"/>
  <c r="O87" i="1"/>
  <c r="L102" i="6" s="1"/>
  <c r="K83" i="6"/>
  <c r="G10" i="4" l="1"/>
  <c r="G14" i="4" s="1"/>
  <c r="J82" i="1"/>
  <c r="M97" i="6" s="1"/>
  <c r="J94" i="6"/>
  <c r="G88" i="1"/>
  <c r="I11" i="5"/>
  <c r="K102" i="6"/>
  <c r="H15" i="5"/>
  <c r="M70" i="1"/>
  <c r="I83" i="6"/>
  <c r="E9" i="4"/>
  <c r="F15" i="5"/>
  <c r="G15" i="5" s="1"/>
  <c r="I9" i="5"/>
  <c r="G71" i="1"/>
  <c r="I10" i="4" l="1"/>
  <c r="H10" i="4"/>
  <c r="G12" i="5"/>
  <c r="I88" i="1"/>
  <c r="I12" i="5" s="1"/>
  <c r="J88" i="1"/>
  <c r="J12" i="5" s="1"/>
  <c r="J15" i="5"/>
  <c r="I15" i="5"/>
  <c r="E14" i="4"/>
  <c r="F14" i="4" s="1"/>
  <c r="F9" i="4"/>
  <c r="G10" i="5"/>
  <c r="I71" i="1"/>
  <c r="I10" i="5" s="1"/>
  <c r="J71" i="1"/>
  <c r="J10" i="5" s="1"/>
  <c r="J83" i="6"/>
  <c r="O70" i="1"/>
  <c r="L83" i="6" s="1"/>
  <c r="P70" i="1"/>
  <c r="M83" i="6" s="1"/>
  <c r="H9" i="4" l="1"/>
  <c r="I9" i="4"/>
  <c r="H14" i="4"/>
  <c r="I14" i="4"/>
</calcChain>
</file>

<file path=xl/comments1.xml><?xml version="1.0" encoding="utf-8"?>
<comments xmlns="http://schemas.openxmlformats.org/spreadsheetml/2006/main">
  <authors>
    <author>CARLOS FELIPE VALDIVIA PINO</author>
    <author>CEA TELLO, MARIO ANDRES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N°1153-22 Otorga LTP A de 0,401 Ton desde Isla Quihua S.A. V-X</t>
        </r>
      </text>
    </comment>
    <comment ref="F1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N°3469-21 Otorga LTP A de 570,417 Ton desde Grimar S.A. V-X
Res. Ex. N°3472-21 Otorga LTP A de 70,630 Ton desde Pesq. Sur Austral S.A. V-X
Res. Ex. N°3475-21 Otorga LTP A de 499,550 Ton desde Pesq. Sur Austral S.A. V-X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N°748-22 Otorga LTP A de 284,804 Ton a Soc. Pesq. Landes S.A. V-X
Res. Ex. N°749-22 Otorga LTP A de 54,317 Ton a Soc. Pesq. Landes S.A. V-X
Res. Ex. N°750-22 Otorga LTP A de 0,482 Ton a Soc. Pesq. Landes S.A. V-X
Traspaso de 2,025 Ton desde Pacificblu Spa. XI-XII (Cert. N°8-22)
Res. Ex. N°1232-22 Otorga LTP A de 633,237 Ton a Pesq. Sur Austral S.A. V-X
Res. Ex. N°1233-22 Otorga LTP A de 78,496 Ton a Pesq. Sur Austral S.A. V-X
Res. Ex. N°1235-22 Otorga LTP A de 70,630 Ton a Pesq. Sur Austral S.A. V-X
Res. Ex. N°1236-22 Otorga LTP A de 492,409 Ton a Pesq. Sur Austral S.A. V-X
Res. Ex. N°1230-22 Otorga LTP A de 120,145 Ton a Grimar S.A. V-X
Res. Ex. N°1229-22 Otorga LTP A de 499,550 Ton a Grimar S.A. V-X
Res. Ex. N°1227-22 Otorga LTP A de 84,607 Ton a Grimar S.A. V-X
Res. Ex. N°1228-22 Otorga LTP A de 570,417 Ton a Grimar S.A. V-X
Res. Ex. N°1738-22 Otorga LTP A de 15,244 Ton desde Soc. Pesq. Landes S.A. V-X
Res. Ex. N°1737-22 Otorga LTP A de 284,804 Ton desde Soc. Pesq. Landes S.A. V-X</t>
        </r>
      </text>
    </comment>
    <comment ref="F25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 1942-22 Deja sin Efecto Fidecomiso de 0,161 Ton a Pesquera Centro Sur Spa V-X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N°3469-21 Otorga LTP A de 570,417 Ton a Pacificblu Spa V-X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1274,719 Ton a Grimar S.A. XI-XII (Cert. N°34-22)
Modifica Traspaso Cert. N°34-22 a 1074,719 Ton (Cert. N°46)
Modifica Traspaso Cert. N°34-22 a 1004,719 Ton (Cert. N°53)
Res. Ex. N°1230-22 Otorga LTP A de 120,145 Ton desde Pacificblu Spa.  V-X
Res. Ex. N°1229-22 Otorga LTP A de 499,550 Ton desde Pacificblu Spa.  V-X
Res. Ex. N°1227-22 Otorga LTP A de 84,607 Ton desde Pacificblu Spa.  V-X
Res. Ex. N°1228-22 Otorga LTP A de 570,417 Ton desde Pacificblu Spa.  V-X
Traspaso de 160,03844 Ton a Grimar S.A. XI-XII (Cert. N°55-22)
Res. Ex. N°2189-22 Otorga LTP A de 50,004 Ton a Pesquera Sur Austral S.A. V-X
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N°1153-22 Otorga LTP A de 0,401 Ton a Alimentos Marinos S.A. V-X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N°748-22 Otorga LTP A de 284,804 Ton desde Pacificblu SPA V-X
Res. Ex. N°749-22 Otorga LTP A de 54,317 Ton desde Pacificblu SPA V-X
Res. Ex. N°750-22 Otorga LTP A de 0,482 Ton desde Pacificblu SPA V-X
Cert. N° 27-22 Comodato de 0,16046 Ton a Thor Fishiries Chile Spa. V-X
Res. Ex. N°1738-22 Otorga LTP A de 15,244 Ton a Pacificblu SPA V-X
Res. Ex. N°1737-22 Otorga LTP A de 284,804 Ton a Pacificblu SPA V-X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3420,704 Ton a Emdepes S.A. XI-XII (Cert. N°3-22)</t>
        </r>
      </text>
    </comment>
    <comment ref="F4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N°3472-21 Otorga LTP A de 70,630 Ton a Pacificblu Spa V-X
Res. Ex. N°3475-21 Otorga LTP A de 499,550 Ton a Pacificblu Spa V-X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1274,772 Ton a Pesquera Sur Austral S.A. XI-XII (Cert. N°35-22)
Modifica Traspaso Cert. N°35-22 a 1074,722 Ton (Cert. N°45)
Modifica Traspaso Cert. N°45-22 a 914,722 Ton (Cert. N°52)
Res. Ex. N°1232-22 Otorga LTP A de 633,237 Ton desde Pacificblu Spa.  V-X
Res. Ex. N°1233-22 Otorga LTP A de 78,496 Ton desde Pacificblu Spa.  V-X
Res. Ex. N°1235-22 Otorga LTP A de 70,630 Ton desde Pacificblu Spa.  V-X
Res. Ex. N°1236-22 Otorga LTP A de 492,409 Ton desde Pacificblu Spa.  V-X
Traspaso de 140,0537 Ton a Pesquera Sur Austral S.A. XI-XII (Cert. N°56-22)
Traspaso de 70 Ton a Pesquera Sur Austral S.A. XI-XII (Cert. N°58-22)
Res. Ex. N°2189-22 Otorga LTP A de 50,004 Ton desde Grimar S.A.  V-X
Traspaso de 25,04112 Ton a Pesquera Sur Austral S.A. XI-XII (Cert. N°61-22)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0,053 Ton desde Pesca Cisne S.A. XI-XII (Cert. N°137-16)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27-22 Comodato de 0,16046 Ton desde Landes S.A. V-X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N°561-22 Otorga LTP A de 0,234 Ton a Marcelino Gonzalez Silva V-X
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N°674-22 Otorga LTP A de 0,234 Ton desde Marcelino Gonzalez Silva V-X</t>
        </r>
      </text>
    </comment>
    <comment ref="F6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N°561-22 Otorga LTP A de 0,234 Ton desde Comercializadora Simon Seafood Ltda.V-X
Res. Ex. N°674-22 Otorga LTP A de 0,234 Ton a Pesquera MJF Ltda. V-X</t>
        </r>
      </text>
    </comment>
    <comment ref="F6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 1942-22 Deja sin Efecto Fidecomiso de 0,161 Ton desde Pesquera Litoral Spa V-X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2,025 Ton a Pacificblu Spa. V-X (Cert. N°8-22)</t>
        </r>
      </text>
    </comment>
    <comment ref="F7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3420,704 Ton desde Emdepes S.A. V-X (Cert. N°3-22)</t>
        </r>
      </text>
    </comment>
    <comment ref="F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1274,719 Ton desde Grimar S.A. V-X (Cert. N°34-22)
Modifica Traspaso Cert. N°34-22 a 1074,719 Ton (Cert. N°46)
Modifica Traspaso Cert. N°34-22 a 1004,719 Ton (Cert. N°53)
Res. Ex. N°1635-22 Otorga LTP A de 17,925 Ton a Pesca Chile S.A. XI-XII
Res. Ex. N°1636-22 Otorga LTP A de 158,875 Ton a Pesca Chile S.A. XI-XII
Res. Ex. N°1637-22 Otorga LTP A de 23,231 Ton a Pesca Chile S.A. XI-XII
Traspaso de 160,03844 Ton desde Grimar S.A. V-X (Cert. N°55-22)
Res. Ex. N°2007-22 Otorga LTP A 170,424 Ton a Pesca Chile S.A. XI-XII
Res. Ex. N°2008-22 Otorga LTP A 29,591 Ton a Pesca Chile S.A. XI-XII</t>
        </r>
      </text>
    </comment>
    <comment ref="H8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Se incorporan 2,97 Ton. desembarque año 2023, captura correspondientes año 2022  (DI 463877).</t>
        </r>
      </text>
    </comment>
    <comment ref="H8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Se descuentan 40,131 Ton. desembarque año 2022, captura correspondientes año 2021  (DI 3000354).</t>
        </r>
      </text>
    </comment>
    <comment ref="F8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N°1635-22 Otorga LTP A de 17,925 Ton desde Grimar S.A. XI-XII
Res. Ex. N°1636-22 Otorga LTP A de 158,875 Ton desde Grimar S.A. XI-XII
Res. Ex. N°1637-22 Otorga LTP A de 23,231 Ton desde Grimar S.A. XI-XII
Res. Ex. N°2007-22 Otorga LTP A de 170,424 Ton desde Grimar S.A. XI-XII
Res. Ex. N°2008-22 Otorga LTP A de 29,591 Ton desde Grimar S.A. XI-XII</t>
        </r>
      </text>
    </comment>
    <comment ref="H8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Se incorporan 0,244 Ton. desembarque año 2023, captura correspondientes año 2022  (DI 30000451).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0,053 Ton a Pesca Cisne S.A. V-X (Cert. N°137-16)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1274,772 Ton desde Pesquera Sur Austral S.A. V-X (Cert. N°35-22)
Modifica Traspaso Cert. N°35-22 a 1074,722 Ton (Cert. N°45)
Modifica Traspaso Cert. N°45-22 a 914,722 Ton (Cert. N°52)
Traspaso de 140,0537 Ton desde Pesquera Sur Austral S.A. V-X (Cert. N°56-22)
Traspaso de 70 Ton desde Pesquera Sur Austral S.A. V-X (Cert. N°58-22)
Traspaso de 25,04112 Ton desde Pesquera Sur Austral S.A. V-X (Cert. N°61-22)</t>
        </r>
      </text>
    </comment>
    <comment ref="H86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Se incorporan 0,493 Ton. desembarque año 2023, captura correspondientes año 2022  (DI 463865).</t>
        </r>
      </text>
    </comment>
  </commentList>
</comments>
</file>

<file path=xl/sharedStrings.xml><?xml version="1.0" encoding="utf-8"?>
<sst xmlns="http://schemas.openxmlformats.org/spreadsheetml/2006/main" count="999" uniqueCount="134">
  <si>
    <t>Ene-Mar</t>
  </si>
  <si>
    <t>Abr-Dic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</si>
  <si>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</si>
  <si>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</si>
  <si>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</si>
  <si>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</si>
  <si>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</si>
  <si>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</si>
  <si>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</si>
  <si>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</si>
  <si>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</si>
  <si>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</si>
  <si>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</si>
  <si>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</si>
  <si>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</si>
  <si>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</si>
  <si>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</si>
  <si>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</si>
  <si>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</si>
  <si>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</si>
  <si>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</si>
  <si>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</si>
  <si>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</si>
  <si>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</si>
  <si>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</si>
  <si>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</si>
  <si>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 xml:space="preserve">ABRIL </t>
  </si>
  <si>
    <t>DICIEMBRE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</si>
  <si>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</si>
  <si>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</si>
  <si>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</si>
  <si>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</si>
  <si>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</si>
  <si>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</si>
  <si>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</si>
  <si>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</si>
  <si>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</si>
  <si>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</si>
  <si>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</si>
  <si>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</si>
  <si>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</si>
  <si>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</si>
  <si>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</si>
  <si>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</si>
  <si>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</si>
  <si>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</si>
  <si>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</si>
  <si>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</si>
  <si>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</si>
  <si>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</si>
  <si>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</si>
  <si>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</si>
  <si>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</si>
  <si>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</si>
  <si>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</si>
  <si>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</si>
  <si>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</si>
  <si>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</si>
  <si>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</si>
  <si>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</si>
  <si>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</si>
  <si>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</si>
  <si>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</si>
  <si>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</si>
  <si>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</si>
  <si>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</si>
  <si>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</si>
  <si>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</si>
  <si>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</si>
  <si>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</si>
  <si>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</si>
  <si>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</si>
  <si>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</si>
  <si>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</si>
  <si>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</si>
  <si>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</si>
  <si>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</si>
  <si>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</si>
  <si>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</si>
  <si>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</si>
  <si>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</si>
  <si>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</si>
  <si>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</si>
  <si>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LITORAL SPA. PESQ.</t>
  </si>
  <si>
    <t>FOODCORP CHILE S.A.</t>
  </si>
  <si>
    <t>GRIMAR S.A. PESQ.</t>
  </si>
  <si>
    <t>ISLA QUIHUA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</si>
  <si>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</si>
  <si>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</si>
  <si>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</si>
  <si>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</si>
  <si>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</si>
  <si>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</si>
  <si>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</si>
  <si>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</si>
  <si>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</si>
  <si>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</si>
  <si>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</si>
  <si>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</si>
  <si>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</si>
  <si>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</si>
  <si>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</si>
  <si>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</si>
  <si>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</si>
  <si>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</si>
  <si>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</si>
  <si>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</si>
  <si>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</si>
  <si>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</si>
  <si>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</si>
  <si>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</si>
  <si>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</si>
  <si>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</si>
  <si>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</si>
  <si>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</si>
  <si>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</si>
  <si>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</si>
  <si>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</si>
  <si>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NORDIOMAR SPA</t>
  </si>
  <si>
    <t>CONTROL CUOTA GLOBAL MERLUZA DE COLA AÑO 2022</t>
  </si>
  <si>
    <t>CONTROL DE CUOTA MERLUZA DE COLA LTP POR TITULAR 2022</t>
  </si>
  <si>
    <t>QUINTERO S.A. PESQ.</t>
  </si>
  <si>
    <t>ANTARTIC SEAFOOD S.A.</t>
  </si>
  <si>
    <t>ISLADAMAS S.A. PESQ.</t>
  </si>
  <si>
    <t>RUBIO Y MAUAD LIMITADA</t>
  </si>
  <si>
    <t>COMERCIALIZADORA SIMON SEAFOODS LIMITADA</t>
  </si>
  <si>
    <t>Dec. Ex N°251-22: 13.922 Ton</t>
  </si>
  <si>
    <t>NORDIOMAR SPA SOC. PESQ.</t>
  </si>
  <si>
    <t>THOR FISHERIES CHILE SPA.</t>
  </si>
  <si>
    <t>RESUMEN  POR PERIODO DEL CONSUMO DE CUOTA MERLUZA DE COLA, AÑO 2022</t>
  </si>
  <si>
    <t>PESQUERA MJF LTDA.</t>
  </si>
  <si>
    <t>MARCELINO GONZALEZ SILVA</t>
  </si>
  <si>
    <t>PELANTARO INOSTROZA CONCHA</t>
  </si>
  <si>
    <t>PESQUERA CENTRO SUR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</si>
</sst>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168" fontId="52" fillId="0" borderId="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textRotation="90"/>
    </xf>
    <xf numFmtId="168" fontId="52" fillId="0" borderId="0" xfId="0" applyNumberFormat="1" applyFont="1" applyAlignment="1">
      <alignment horizontal="center" vertical="center"/>
    </xf>
    <xf numFmtId="10" fontId="52" fillId="0" borderId="0" xfId="1" applyNumberFormat="1" applyFont="1" applyFill="1" applyBorder="1" applyAlignment="1">
      <alignment horizontal="center" vertical="center"/>
    </xf>
    <xf numFmtId="175" fontId="52" fillId="0" borderId="0" xfId="0" applyNumberFormat="1" applyFont="1" applyAlignment="1">
      <alignment horizontal="center" vertical="center"/>
    </xf>
    <xf numFmtId="167" fontId="52" fillId="0" borderId="0" xfId="0" applyNumberFormat="1" applyFont="1" applyAlignment="1">
      <alignment horizontal="center" vertical="center"/>
    </xf>
    <xf numFmtId="169" fontId="52" fillId="0" borderId="0" xfId="0" applyNumberFormat="1" applyFont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168" fontId="51" fillId="0" borderId="5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74" fontId="51" fillId="0" borderId="5" xfId="1" applyNumberFormat="1" applyFont="1" applyFill="1" applyBorder="1" applyAlignment="1">
      <alignment horizontal="center" vertical="center"/>
    </xf>
    <xf numFmtId="0" fontId="52" fillId="0" borderId="5" xfId="0" applyFont="1" applyBorder="1"/>
    <xf numFmtId="9" fontId="52" fillId="0" borderId="5" xfId="1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1" fillId="59" borderId="5" xfId="0" applyFont="1" applyFill="1" applyBorder="1" applyAlignment="1">
      <alignment horizontal="center" vertical="center" wrapText="1"/>
    </xf>
    <xf numFmtId="170" fontId="51" fillId="59" borderId="5" xfId="0" applyNumberFormat="1" applyFont="1" applyFill="1" applyBorder="1" applyAlignment="1">
      <alignment horizontal="center" vertical="center" wrapText="1"/>
    </xf>
    <xf numFmtId="168" fontId="51" fillId="59" borderId="5" xfId="0" applyNumberFormat="1" applyFont="1" applyFill="1" applyBorder="1" applyAlignment="1">
      <alignment horizontal="center" vertical="center" wrapText="1"/>
    </xf>
    <xf numFmtId="172" fontId="52" fillId="0" borderId="5" xfId="0" applyNumberFormat="1" applyFont="1" applyBorder="1" applyAlignment="1">
      <alignment horizontal="center"/>
    </xf>
    <xf numFmtId="9" fontId="51" fillId="0" borderId="5" xfId="1" applyFont="1" applyFill="1" applyBorder="1" applyAlignment="1">
      <alignment horizontal="center" vertical="center"/>
    </xf>
    <xf numFmtId="172" fontId="52" fillId="0" borderId="0" xfId="0" applyNumberFormat="1" applyFont="1"/>
    <xf numFmtId="4" fontId="52" fillId="0" borderId="0" xfId="0" applyNumberFormat="1" applyFont="1"/>
    <xf numFmtId="3" fontId="51" fillId="0" borderId="5" xfId="0" applyNumberFormat="1" applyFont="1" applyBorder="1" applyAlignment="1">
      <alignment horizontal="center"/>
    </xf>
    <xf numFmtId="9" fontId="51" fillId="0" borderId="5" xfId="1" applyFont="1" applyFill="1" applyBorder="1" applyAlignment="1">
      <alignment horizontal="center"/>
    </xf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168" fontId="54" fillId="0" borderId="5" xfId="0" applyNumberFormat="1" applyFont="1" applyBorder="1" applyAlignment="1">
      <alignment horizontal="center" vertical="center"/>
    </xf>
    <xf numFmtId="0" fontId="56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4" fontId="10" fillId="0" borderId="5" xfId="1" applyNumberFormat="1" applyFont="1" applyFill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3" fontId="51" fillId="0" borderId="5" xfId="0" applyNumberFormat="1" applyFont="1" applyBorder="1" applyAlignment="1">
      <alignment horizontal="center" vertical="center"/>
    </xf>
    <xf numFmtId="3" fontId="51" fillId="0" borderId="5" xfId="1" applyNumberFormat="1" applyFont="1" applyFill="1" applyBorder="1" applyAlignment="1">
      <alignment horizontal="center" vertical="center"/>
    </xf>
    <xf numFmtId="168" fontId="52" fillId="0" borderId="0" xfId="0" applyNumberFormat="1" applyFont="1"/>
    <xf numFmtId="3" fontId="52" fillId="0" borderId="5" xfId="0" applyNumberFormat="1" applyFont="1" applyBorder="1" applyAlignment="1">
      <alignment horizontal="center"/>
    </xf>
    <xf numFmtId="169" fontId="52" fillId="0" borderId="0" xfId="0" applyNumberFormat="1" applyFont="1"/>
    <xf numFmtId="168" fontId="52" fillId="0" borderId="5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168" fontId="52" fillId="0" borderId="5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68" fontId="54" fillId="0" borderId="5" xfId="0" applyNumberFormat="1" applyFont="1" applyFill="1" applyBorder="1" applyAlignment="1">
      <alignment horizontal="center" vertical="center"/>
    </xf>
    <xf numFmtId="172" fontId="52" fillId="61" borderId="5" xfId="0" applyNumberFormat="1" applyFont="1" applyFill="1" applyBorder="1" applyAlignment="1">
      <alignment horizontal="center"/>
    </xf>
    <xf numFmtId="168" fontId="52" fillId="61" borderId="5" xfId="0" applyNumberFormat="1" applyFont="1" applyFill="1" applyBorder="1" applyAlignment="1">
      <alignment horizontal="center" vertical="center"/>
    </xf>
    <xf numFmtId="168" fontId="54" fillId="61" borderId="5" xfId="0" applyNumberFormat="1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0" fontId="51" fillId="60" borderId="37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8" xfId="0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166" fontId="51" fillId="60" borderId="40" xfId="0" applyNumberFormat="1" applyFont="1" applyFill="1" applyBorder="1" applyAlignment="1">
      <alignment horizontal="center" vertical="center"/>
    </xf>
    <xf numFmtId="166" fontId="51" fillId="60" borderId="41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30" xfId="0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0" fontId="51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168" fontId="52" fillId="0" borderId="5" xfId="0" applyNumberFormat="1" applyFont="1" applyBorder="1" applyAlignment="1">
      <alignment horizontal="center" vertical="center"/>
    </xf>
    <xf numFmtId="168" fontId="51" fillId="0" borderId="6" xfId="0" applyNumberFormat="1" applyFont="1" applyBorder="1" applyAlignment="1">
      <alignment horizontal="center" vertical="center"/>
    </xf>
    <xf numFmtId="168" fontId="51" fillId="0" borderId="31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74" fontId="51" fillId="0" borderId="6" xfId="1" applyNumberFormat="1" applyFont="1" applyFill="1" applyBorder="1" applyAlignment="1">
      <alignment horizontal="center" vertical="center"/>
    </xf>
    <xf numFmtId="174" fontId="51" fillId="0" borderId="31" xfId="1" applyNumberFormat="1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8" fontId="52" fillId="62" borderId="5" xfId="0" applyNumberFormat="1" applyFont="1" applyFill="1" applyBorder="1" applyAlignment="1">
      <alignment horizontal="center" vertical="center"/>
    </xf>
    <xf numFmtId="174" fontId="52" fillId="62" borderId="5" xfId="1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 vertical="center" wrapText="1"/>
    </xf>
    <xf numFmtId="168" fontId="52" fillId="0" borderId="6" xfId="0" applyNumberFormat="1" applyFont="1" applyBorder="1" applyAlignment="1">
      <alignment horizontal="center" vertical="center"/>
    </xf>
    <xf numFmtId="168" fontId="52" fillId="0" borderId="31" xfId="0" applyNumberFormat="1" applyFont="1" applyBorder="1" applyAlignment="1">
      <alignment horizontal="center" vertical="center"/>
    </xf>
    <xf numFmtId="174" fontId="52" fillId="0" borderId="6" xfId="1" applyNumberFormat="1" applyFont="1" applyFill="1" applyBorder="1" applyAlignment="1">
      <alignment horizontal="center" vertical="center"/>
    </xf>
    <xf numFmtId="174" fontId="52" fillId="0" borderId="31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168" fontId="51" fillId="0" borderId="5" xfId="0" applyNumberFormat="1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174" fontId="51" fillId="0" borderId="5" xfId="1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 wrapText="1"/>
    </xf>
    <xf numFmtId="2" fontId="53" fillId="60" borderId="34" xfId="0" applyNumberFormat="1" applyFont="1" applyFill="1" applyBorder="1" applyAlignment="1">
      <alignment horizontal="center" vertical="center"/>
    </xf>
    <xf numFmtId="2" fontId="53" fillId="60" borderId="35" xfId="0" applyNumberFormat="1" applyFont="1" applyFill="1" applyBorder="1" applyAlignment="1">
      <alignment horizontal="center" vertical="center"/>
    </xf>
    <xf numFmtId="2" fontId="53" fillId="60" borderId="36" xfId="0" applyNumberFormat="1" applyFont="1" applyFill="1" applyBorder="1" applyAlignment="1">
      <alignment horizontal="center" vertical="center"/>
    </xf>
    <xf numFmtId="166" fontId="53" fillId="60" borderId="39" xfId="0" applyNumberFormat="1" applyFont="1" applyFill="1" applyBorder="1" applyAlignment="1">
      <alignment horizontal="center" vertical="center"/>
    </xf>
    <xf numFmtId="166" fontId="53" fillId="60" borderId="40" xfId="0" applyNumberFormat="1" applyFont="1" applyFill="1" applyBorder="1" applyAlignment="1">
      <alignment horizontal="center" vertical="center"/>
    </xf>
    <xf numFmtId="166" fontId="53" fillId="60" borderId="4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Bueno" xfId="2" builtinId="26" customBuiltin="1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1" xfId="10" builtinId="16" customBuiltin="1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" xfId="1" builtinId="5"/>
    <cellStyle name="Porcentaje 2" xfId="42110"/>
    <cellStyle name="Porcentaje 3" xfId="42111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"/>
  <sheetViews>
    <sheetView showGridLines="0" tabSelected="1" zoomScaleNormal="100" workbookViewId="0">
      <selection activeCell="C12" sqref="C12"/>
    </sheetView>
  </sheetViews>
  <sheetFormatPr baseColWidth="10" defaultColWidth="11.42578125" defaultRowHeight="12"/>
  <cols>
    <col min="1" max="1" width="11.42578125" style="28"/>
    <col min="2" max="2" width="24.7109375" style="28" bestFit="1" customWidth="1"/>
    <col min="3" max="3" width="18" style="28" bestFit="1" customWidth="1"/>
    <col min="4" max="4" width="19" style="28" bestFit="1" customWidth="1"/>
    <col min="5" max="5" width="16.5703125" style="28" bestFit="1" customWidth="1"/>
    <col min="6" max="6" width="18" style="28" bestFit="1" customWidth="1"/>
    <col min="7" max="7" width="12.42578125" style="28" bestFit="1" customWidth="1"/>
    <col min="8" max="8" width="10.5703125" style="28" bestFit="1" customWidth="1"/>
    <col min="9" max="9" width="12" style="28" bestFit="1" customWidth="1"/>
    <col min="10" max="16384" width="11.42578125" style="28"/>
  </cols>
  <sheetData>
    <row r="3" spans="2:9">
      <c r="B3" s="90" t="s">
        <v>119</v>
      </c>
      <c r="C3" s="91"/>
      <c r="D3" s="91"/>
      <c r="E3" s="91"/>
      <c r="F3" s="91"/>
      <c r="G3" s="91"/>
      <c r="H3" s="91"/>
      <c r="I3" s="92"/>
    </row>
    <row r="4" spans="2:9">
      <c r="B4" s="93"/>
      <c r="C4" s="94"/>
      <c r="D4" s="94"/>
      <c r="E4" s="94"/>
      <c r="F4" s="94"/>
      <c r="G4" s="94"/>
      <c r="H4" s="94"/>
      <c r="I4" s="95"/>
    </row>
    <row r="5" spans="2:9">
      <c r="B5" s="96">
        <v>44926</v>
      </c>
      <c r="C5" s="97"/>
      <c r="D5" s="97"/>
      <c r="E5" s="97"/>
      <c r="F5" s="97"/>
      <c r="G5" s="97"/>
      <c r="H5" s="97"/>
      <c r="I5" s="98"/>
    </row>
    <row r="6" spans="2:9">
      <c r="B6" s="60"/>
      <c r="C6" s="60"/>
      <c r="D6" s="60"/>
      <c r="E6" s="60"/>
      <c r="F6" s="60"/>
      <c r="G6" s="60"/>
      <c r="H6" s="60"/>
      <c r="I6" s="60"/>
    </row>
    <row r="7" spans="2:9">
      <c r="B7" s="101"/>
      <c r="C7" s="101"/>
      <c r="D7" s="101"/>
      <c r="E7" s="101"/>
      <c r="F7" s="101"/>
      <c r="G7" s="101"/>
      <c r="H7" s="101"/>
      <c r="I7" s="101"/>
    </row>
    <row r="8" spans="2:9">
      <c r="B8" s="50" t="s">
        <v>108</v>
      </c>
      <c r="C8" s="50" t="s">
        <v>109</v>
      </c>
      <c r="D8" s="51" t="s">
        <v>99</v>
      </c>
      <c r="E8" s="52" t="s">
        <v>110</v>
      </c>
      <c r="F8" s="50" t="s">
        <v>101</v>
      </c>
      <c r="G8" s="50" t="s">
        <v>102</v>
      </c>
      <c r="H8" s="50" t="s">
        <v>103</v>
      </c>
      <c r="I8" s="50" t="s">
        <v>104</v>
      </c>
    </row>
    <row r="9" spans="2:9">
      <c r="B9" s="99" t="s">
        <v>111</v>
      </c>
      <c r="C9" s="61" t="s">
        <v>113</v>
      </c>
      <c r="D9" s="79">
        <f>'ARTESANAL-INDUSTRIAL'!E9+'ARTESANAL-INDUSTRIAL'!E10</f>
        <v>8025.996000000001</v>
      </c>
      <c r="E9" s="53">
        <f>'ARTESANAL-INDUSTRIAL'!F9+'ARTESANAL-INDUSTRIAL'!F10</f>
        <v>-5733.2002600000014</v>
      </c>
      <c r="F9" s="53">
        <f>D9+E9</f>
        <v>2292.7957399999996</v>
      </c>
      <c r="G9" s="53">
        <f>'ARTESANAL-INDUSTRIAL'!H9+'ARTESANAL-INDUSTRIAL'!H10</f>
        <v>1916.703</v>
      </c>
      <c r="H9" s="53">
        <f>F9-G9</f>
        <v>376.09273999999959</v>
      </c>
      <c r="I9" s="48">
        <f>G9/F9</f>
        <v>0.83596762090983312</v>
      </c>
    </row>
    <row r="10" spans="2:9">
      <c r="B10" s="99"/>
      <c r="C10" s="61" t="s">
        <v>114</v>
      </c>
      <c r="D10" s="79">
        <f>'ARTESANAL-INDUSTRIAL'!E11+'ARTESANAL-INDUSTRIAL'!E12</f>
        <v>5350.9750000000004</v>
      </c>
      <c r="E10" s="53">
        <f>'ARTESANAL-INDUSTRIAL'!F11+'ARTESANAL-INDUSTRIAL'!F12</f>
        <v>5733.2002600000005</v>
      </c>
      <c r="F10" s="53">
        <f>D10+E10</f>
        <v>11084.17526</v>
      </c>
      <c r="G10" s="53">
        <f>'ARTESANAL-INDUSTRIAL'!H11+'ARTESANAL-INDUSTRIAL'!H12</f>
        <v>9671.2989999999991</v>
      </c>
      <c r="H10" s="53">
        <f>F10-G10</f>
        <v>1412.8762600000009</v>
      </c>
      <c r="I10" s="48">
        <f>G10/F10</f>
        <v>0.87253212558820537</v>
      </c>
    </row>
    <row r="11" spans="2:9">
      <c r="B11" s="100" t="s">
        <v>116</v>
      </c>
      <c r="C11" s="61" t="s">
        <v>115</v>
      </c>
      <c r="D11" s="79">
        <v>31</v>
      </c>
      <c r="E11" s="53">
        <f>'ARTESANAL-INDUSTRIAL'!F13</f>
        <v>0</v>
      </c>
      <c r="F11" s="53">
        <f>'ARTESANAL-INDUSTRIAL'!G13</f>
        <v>31</v>
      </c>
      <c r="G11" s="53">
        <f>'ARTESANAL-INDUSTRIAL'!H13</f>
        <v>0</v>
      </c>
      <c r="H11" s="53">
        <f>'ARTESANAL-INDUSTRIAL'!I13</f>
        <v>31</v>
      </c>
      <c r="I11" s="48">
        <f>'ARTESANAL-INDUSTRIAL'!J13</f>
        <v>0</v>
      </c>
    </row>
    <row r="12" spans="2:9">
      <c r="B12" s="100"/>
      <c r="C12" s="61" t="s">
        <v>73</v>
      </c>
      <c r="D12" s="79">
        <v>279</v>
      </c>
      <c r="E12" s="53">
        <f>'ARTESANAL-INDUSTRIAL'!F14</f>
        <v>0</v>
      </c>
      <c r="F12" s="53">
        <f>'ARTESANAL-INDUSTRIAL'!G14</f>
        <v>279</v>
      </c>
      <c r="G12" s="53">
        <f>'ARTESANAL-INDUSTRIAL'!H14</f>
        <v>6.2E-2</v>
      </c>
      <c r="H12" s="53">
        <f>'ARTESANAL-INDUSTRIAL'!I14</f>
        <v>278.93799999999999</v>
      </c>
      <c r="I12" s="48">
        <f>'ARTESANAL-INDUSTRIAL'!J14</f>
        <v>2.2222222222222223E-4</v>
      </c>
    </row>
    <row r="13" spans="2:9">
      <c r="B13" s="102" t="s">
        <v>107</v>
      </c>
      <c r="C13" s="103"/>
      <c r="D13" s="79">
        <v>235</v>
      </c>
      <c r="E13" s="53">
        <v>0</v>
      </c>
      <c r="F13" s="53">
        <f>D13+E13</f>
        <v>235</v>
      </c>
      <c r="G13" s="53">
        <v>0</v>
      </c>
      <c r="H13" s="53">
        <f>F13-G13</f>
        <v>235</v>
      </c>
      <c r="I13" s="48">
        <f>G13/F13</f>
        <v>0</v>
      </c>
    </row>
    <row r="14" spans="2:9">
      <c r="B14" s="89" t="s">
        <v>96</v>
      </c>
      <c r="C14" s="89"/>
      <c r="D14" s="57">
        <f>SUM(D9:D13)</f>
        <v>13921.971000000001</v>
      </c>
      <c r="E14" s="57">
        <f>SUM(E9:E12)</f>
        <v>-9.0949470177292824E-13</v>
      </c>
      <c r="F14" s="57">
        <f>D14-E14</f>
        <v>13921.971000000001</v>
      </c>
      <c r="G14" s="57">
        <f>SUM(G9:G12)</f>
        <v>11588.063999999998</v>
      </c>
      <c r="H14" s="57">
        <f>F14-G14</f>
        <v>2333.9070000000029</v>
      </c>
      <c r="I14" s="58">
        <f>G14/F14</f>
        <v>0.83235800448083086</v>
      </c>
    </row>
    <row r="16" spans="2:9" ht="12.75" thickBot="1">
      <c r="D16" s="55"/>
    </row>
    <row r="17" spans="2:7" ht="12.75" thickBot="1">
      <c r="B17" s="59" t="s">
        <v>126</v>
      </c>
      <c r="G17" s="55"/>
    </row>
    <row r="21" spans="2:7">
      <c r="C21" s="78"/>
    </row>
    <row r="22" spans="2:7">
      <c r="D22" s="56"/>
    </row>
    <row r="24" spans="2:7">
      <c r="C24" s="78"/>
      <c r="D24" s="78"/>
    </row>
    <row r="30" spans="2:7">
      <c r="C30" s="80"/>
      <c r="D30" s="78"/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zoomScaleNormal="100" workbookViewId="0">
      <selection activeCell="E14" sqref="E14"/>
    </sheetView>
  </sheetViews>
  <sheetFormatPr baseColWidth="10" defaultColWidth="11.42578125" defaultRowHeight="12"/>
  <cols>
    <col min="1" max="2" width="11.42578125" style="28"/>
    <col min="3" max="3" width="18.85546875" style="28" bestFit="1" customWidth="1"/>
    <col min="4" max="4" width="11.42578125" style="28"/>
    <col min="5" max="5" width="19" style="28" bestFit="1" customWidth="1"/>
    <col min="6" max="6" width="16.5703125" style="28" bestFit="1" customWidth="1"/>
    <col min="7" max="7" width="18" style="28" bestFit="1" customWidth="1"/>
    <col min="8" max="8" width="12.42578125" style="28" bestFit="1" customWidth="1"/>
    <col min="9" max="9" width="10.5703125" style="28" bestFit="1" customWidth="1"/>
    <col min="10" max="10" width="12" style="28" bestFit="1" customWidth="1"/>
    <col min="11" max="16384" width="11.42578125" style="28"/>
  </cols>
  <sheetData>
    <row r="3" spans="2:11" ht="15" customHeight="1">
      <c r="B3" s="90" t="s">
        <v>129</v>
      </c>
      <c r="C3" s="91"/>
      <c r="D3" s="91"/>
      <c r="E3" s="91"/>
      <c r="F3" s="91"/>
      <c r="G3" s="91"/>
      <c r="H3" s="91"/>
      <c r="I3" s="91"/>
      <c r="J3" s="92"/>
    </row>
    <row r="4" spans="2:11" ht="15" customHeight="1">
      <c r="B4" s="93"/>
      <c r="C4" s="94"/>
      <c r="D4" s="94"/>
      <c r="E4" s="94"/>
      <c r="F4" s="94"/>
      <c r="G4" s="94"/>
      <c r="H4" s="94"/>
      <c r="I4" s="94"/>
      <c r="J4" s="95"/>
    </row>
    <row r="5" spans="2:11">
      <c r="B5" s="96">
        <f>RESUMEN!B5:I5</f>
        <v>44926</v>
      </c>
      <c r="C5" s="97"/>
      <c r="D5" s="97"/>
      <c r="E5" s="97"/>
      <c r="F5" s="97"/>
      <c r="G5" s="97"/>
      <c r="H5" s="97"/>
      <c r="I5" s="97"/>
      <c r="J5" s="98"/>
      <c r="K5" s="62"/>
    </row>
    <row r="8" spans="2:11">
      <c r="B8" s="50" t="s">
        <v>108</v>
      </c>
      <c r="C8" s="50" t="s">
        <v>109</v>
      </c>
      <c r="D8" s="51" t="s">
        <v>39</v>
      </c>
      <c r="E8" s="52" t="s">
        <v>99</v>
      </c>
      <c r="F8" s="50" t="s">
        <v>110</v>
      </c>
      <c r="G8" s="50" t="s">
        <v>101</v>
      </c>
      <c r="H8" s="50" t="s">
        <v>102</v>
      </c>
      <c r="I8" s="50" t="s">
        <v>103</v>
      </c>
      <c r="J8" s="50" t="s">
        <v>104</v>
      </c>
    </row>
    <row r="9" spans="2:11">
      <c r="B9" s="105" t="s">
        <v>111</v>
      </c>
      <c r="C9" s="105" t="s">
        <v>113</v>
      </c>
      <c r="D9" s="47" t="s">
        <v>0</v>
      </c>
      <c r="E9" s="53">
        <f>'CUOTA INDUSTRIAL'!E70</f>
        <v>3209.9970000000012</v>
      </c>
      <c r="F9" s="53">
        <f>'CUOTA INDUSTRIAL'!F70</f>
        <v>-3418.9260000000008</v>
      </c>
      <c r="G9" s="53">
        <f>'CUOTA INDUSTRIAL'!G70</f>
        <v>-208.92899999999963</v>
      </c>
      <c r="H9" s="53">
        <f>'CUOTA INDUSTRIAL'!H70</f>
        <v>887.995</v>
      </c>
      <c r="I9" s="53">
        <f>'CUOTA INDUSTRIAL'!I70</f>
        <v>-1096.9239999999995</v>
      </c>
      <c r="J9" s="48">
        <f>'CUOTA INDUSTRIAL'!J70</f>
        <v>-4.250223760224773</v>
      </c>
    </row>
    <row r="10" spans="2:11">
      <c r="B10" s="105"/>
      <c r="C10" s="105"/>
      <c r="D10" s="47" t="s">
        <v>1</v>
      </c>
      <c r="E10" s="53">
        <f>'CUOTA INDUSTRIAL'!E71</f>
        <v>4815.9989999999998</v>
      </c>
      <c r="F10" s="53">
        <f>'CUOTA INDUSTRIAL'!F71</f>
        <v>-2314.2742600000006</v>
      </c>
      <c r="G10" s="53">
        <f>'CUOTA INDUSTRIAL'!G71</f>
        <v>1404.8007399999997</v>
      </c>
      <c r="H10" s="53">
        <f>'CUOTA INDUSTRIAL'!H71</f>
        <v>1028.7080000000001</v>
      </c>
      <c r="I10" s="53">
        <f>'CUOTA INDUSTRIAL'!I71</f>
        <v>376.09273999999959</v>
      </c>
      <c r="J10" s="48">
        <f>'CUOTA INDUSTRIAL'!J71</f>
        <v>0.73228036596848622</v>
      </c>
    </row>
    <row r="11" spans="2:11">
      <c r="B11" s="105"/>
      <c r="C11" s="105" t="s">
        <v>114</v>
      </c>
      <c r="D11" s="47" t="s">
        <v>0</v>
      </c>
      <c r="E11" s="53">
        <f>'CUOTA INDUSTRIAL'!E87</f>
        <v>2139.9900000000002</v>
      </c>
      <c r="F11" s="53">
        <f>'CUOTA INDUSTRIAL'!F87</f>
        <v>3420.6510000000003</v>
      </c>
      <c r="G11" s="53">
        <f>'CUOTA INDUSTRIAL'!G87</f>
        <v>5560.6410000000005</v>
      </c>
      <c r="H11" s="53">
        <f>'CUOTA INDUSTRIAL'!H87</f>
        <v>198.57300000000001</v>
      </c>
      <c r="I11" s="53">
        <f>'CUOTA INDUSTRIAL'!I87</f>
        <v>5362.0680000000002</v>
      </c>
      <c r="J11" s="48">
        <f>'CUOTA INDUSTRIAL'!J87</f>
        <v>3.5710451367027649E-2</v>
      </c>
    </row>
    <row r="12" spans="2:11">
      <c r="B12" s="105"/>
      <c r="C12" s="105"/>
      <c r="D12" s="47" t="s">
        <v>1</v>
      </c>
      <c r="E12" s="53">
        <f>'CUOTA INDUSTRIAL'!E88</f>
        <v>3210.9850000000006</v>
      </c>
      <c r="F12" s="53">
        <f>'CUOTA INDUSTRIAL'!F88</f>
        <v>2312.5492600000002</v>
      </c>
      <c r="G12" s="53">
        <f>'CUOTA INDUSTRIAL'!G88</f>
        <v>10885.60226</v>
      </c>
      <c r="H12" s="53">
        <f>'CUOTA INDUSTRIAL'!H88</f>
        <v>9472.7259999999987</v>
      </c>
      <c r="I12" s="53">
        <f>'CUOTA INDUSTRIAL'!I88</f>
        <v>1412.8762600000009</v>
      </c>
      <c r="J12" s="48">
        <f>'CUOTA INDUSTRIAL'!J88</f>
        <v>0.87020688187444384</v>
      </c>
    </row>
    <row r="13" spans="2:11">
      <c r="B13" s="105" t="s">
        <v>112</v>
      </c>
      <c r="C13" s="49" t="s">
        <v>115</v>
      </c>
      <c r="D13" s="47" t="s">
        <v>31</v>
      </c>
      <c r="E13" s="53">
        <v>31</v>
      </c>
      <c r="F13" s="53">
        <v>0</v>
      </c>
      <c r="G13" s="53">
        <f>E13+F13</f>
        <v>31</v>
      </c>
      <c r="H13" s="53">
        <v>0</v>
      </c>
      <c r="I13" s="53">
        <f>G13-H13</f>
        <v>31</v>
      </c>
      <c r="J13" s="48">
        <f>H13/G13</f>
        <v>0</v>
      </c>
    </row>
    <row r="14" spans="2:11">
      <c r="B14" s="105"/>
      <c r="C14" s="49" t="s">
        <v>73</v>
      </c>
      <c r="D14" s="47" t="s">
        <v>31</v>
      </c>
      <c r="E14" s="53">
        <v>279</v>
      </c>
      <c r="F14" s="53">
        <v>0</v>
      </c>
      <c r="G14" s="53">
        <f>E14+F14</f>
        <v>279</v>
      </c>
      <c r="H14" s="86">
        <v>6.2E-2</v>
      </c>
      <c r="I14" s="53">
        <f>G14-H14</f>
        <v>278.93799999999999</v>
      </c>
      <c r="J14" s="48">
        <f>H14/G14</f>
        <v>2.2222222222222223E-4</v>
      </c>
    </row>
    <row r="15" spans="2:11">
      <c r="B15" s="104" t="s">
        <v>96</v>
      </c>
      <c r="C15" s="104"/>
      <c r="D15" s="104"/>
      <c r="E15" s="76">
        <f>SUM(E9:E14)</f>
        <v>13686.971000000001</v>
      </c>
      <c r="F15" s="76">
        <f>SUM(F9:F14)</f>
        <v>-9.0949470177292824E-13</v>
      </c>
      <c r="G15" s="76">
        <f>E15+F15</f>
        <v>13686.971000000001</v>
      </c>
      <c r="H15" s="76">
        <f>SUM(H9:H14)</f>
        <v>11588.063999999998</v>
      </c>
      <c r="I15" s="77">
        <f>G15-H15</f>
        <v>2098.9070000000029</v>
      </c>
      <c r="J15" s="54">
        <f>H15/G15</f>
        <v>0.84664926958638231</v>
      </c>
    </row>
  </sheetData>
  <mergeCells count="7">
    <mergeCell ref="B3:J4"/>
    <mergeCell ref="B5:J5"/>
    <mergeCell ref="B15:D15"/>
    <mergeCell ref="B13:B14"/>
    <mergeCell ref="C9:C10"/>
    <mergeCell ref="C11:C12"/>
    <mergeCell ref="B9:B12"/>
  </mergeCells>
  <conditionalFormatting sqref="I13:I14">
    <cfRule type="cellIs" dxfId="2" priority="1" operator="lessThan">
      <formula>0</formula>
    </cfRule>
  </conditionalFormatting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F89"/>
  <sheetViews>
    <sheetView showGridLines="0" topLeftCell="C37" zoomScale="90" zoomScaleNormal="90" workbookViewId="0">
      <selection activeCell="S60" sqref="S60"/>
    </sheetView>
  </sheetViews>
  <sheetFormatPr baseColWidth="10" defaultColWidth="11.42578125" defaultRowHeight="12"/>
  <cols>
    <col min="1" max="1" width="5.140625" style="28" customWidth="1"/>
    <col min="2" max="2" width="19.28515625" style="28" customWidth="1"/>
    <col min="3" max="3" width="25.28515625" style="28" customWidth="1"/>
    <col min="4" max="4" width="7.5703125" style="28" bestFit="1" customWidth="1"/>
    <col min="5" max="5" width="19.28515625" style="28" customWidth="1"/>
    <col min="6" max="6" width="16.140625" style="28" customWidth="1"/>
    <col min="7" max="7" width="18" style="28" bestFit="1" customWidth="1"/>
    <col min="8" max="8" width="12.42578125" style="28" bestFit="1" customWidth="1"/>
    <col min="9" max="9" width="10.5703125" style="28" bestFit="1" customWidth="1"/>
    <col min="10" max="10" width="12.5703125" style="28" customWidth="1"/>
    <col min="11" max="11" width="18.5703125" style="28" customWidth="1"/>
    <col min="12" max="12" width="15.5703125" style="28" bestFit="1" customWidth="1"/>
    <col min="13" max="13" width="18" style="28" bestFit="1" customWidth="1"/>
    <col min="14" max="14" width="12.42578125" style="28" bestFit="1" customWidth="1"/>
    <col min="15" max="15" width="10.5703125" style="28" bestFit="1" customWidth="1"/>
    <col min="16" max="16" width="13.28515625" style="28" customWidth="1"/>
    <col min="17" max="17" width="11.5703125" style="28"/>
    <col min="18" max="16384" width="11.42578125" style="28"/>
  </cols>
  <sheetData>
    <row r="3" spans="1:110" s="30" customFormat="1" ht="18.75" customHeight="1">
      <c r="A3" s="29"/>
      <c r="B3" s="132" t="s">
        <v>120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</row>
    <row r="4" spans="1:110" s="30" customFormat="1" ht="20.25" customHeight="1">
      <c r="A4" s="29"/>
      <c r="B4" s="135">
        <f>RESUMEN!B5</f>
        <v>44926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</row>
    <row r="5" spans="1:110" s="30" customFormat="1">
      <c r="A5" s="29"/>
      <c r="B5" s="29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</row>
    <row r="6" spans="1:110" s="30" customFormat="1">
      <c r="A6" s="29"/>
      <c r="B6" s="2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</row>
    <row r="7" spans="1:110" s="29" customFormat="1" ht="24">
      <c r="B7" s="50" t="s">
        <v>97</v>
      </c>
      <c r="C7" s="50" t="s">
        <v>98</v>
      </c>
      <c r="D7" s="50" t="s">
        <v>39</v>
      </c>
      <c r="E7" s="50" t="s">
        <v>99</v>
      </c>
      <c r="F7" s="50" t="s">
        <v>100</v>
      </c>
      <c r="G7" s="50" t="s">
        <v>101</v>
      </c>
      <c r="H7" s="50" t="s">
        <v>102</v>
      </c>
      <c r="I7" s="50" t="s">
        <v>103</v>
      </c>
      <c r="J7" s="50" t="s">
        <v>104</v>
      </c>
      <c r="K7" s="50" t="s">
        <v>99</v>
      </c>
      <c r="L7" s="50" t="s">
        <v>100</v>
      </c>
      <c r="M7" s="50" t="s">
        <v>101</v>
      </c>
      <c r="N7" s="50" t="s">
        <v>102</v>
      </c>
      <c r="O7" s="50" t="s">
        <v>103</v>
      </c>
      <c r="P7" s="50" t="s">
        <v>104</v>
      </c>
    </row>
    <row r="8" spans="1:110" s="29" customFormat="1" ht="15.75" customHeight="1">
      <c r="B8" s="138" t="s">
        <v>105</v>
      </c>
      <c r="C8" s="116" t="s">
        <v>80</v>
      </c>
      <c r="D8" s="33" t="s">
        <v>0</v>
      </c>
      <c r="E8" s="34">
        <v>0.161</v>
      </c>
      <c r="F8" s="34"/>
      <c r="G8" s="34">
        <f>E8+F8</f>
        <v>0.161</v>
      </c>
      <c r="H8" s="34"/>
      <c r="I8" s="34">
        <f>G8-H8</f>
        <v>0.161</v>
      </c>
      <c r="J8" s="45">
        <f t="shared" ref="J8:J87" si="0">H8/G8</f>
        <v>0</v>
      </c>
      <c r="K8" s="108">
        <f>E8+E9</f>
        <v>0.40200000000000002</v>
      </c>
      <c r="L8" s="108">
        <f>F8+F9</f>
        <v>0.40129999999999999</v>
      </c>
      <c r="M8" s="108">
        <f>K8+L8</f>
        <v>0.80330000000000001</v>
      </c>
      <c r="N8" s="108">
        <f>H8+H9</f>
        <v>0</v>
      </c>
      <c r="O8" s="108">
        <f>M8-N8</f>
        <v>0.80330000000000001</v>
      </c>
      <c r="P8" s="111">
        <f>N8/M8</f>
        <v>0</v>
      </c>
    </row>
    <row r="9" spans="1:110" s="29" customFormat="1" ht="15.75" customHeight="1">
      <c r="B9" s="139"/>
      <c r="C9" s="116"/>
      <c r="D9" s="33" t="s">
        <v>1</v>
      </c>
      <c r="E9" s="34">
        <v>0.24099999999999999</v>
      </c>
      <c r="F9" s="34">
        <f>0.4013</f>
        <v>0.40129999999999999</v>
      </c>
      <c r="G9" s="34">
        <f>E9+F9+I8</f>
        <v>0.80330000000000001</v>
      </c>
      <c r="H9" s="81"/>
      <c r="I9" s="34">
        <f>G9-H9</f>
        <v>0.80330000000000001</v>
      </c>
      <c r="J9" s="45">
        <f t="shared" si="0"/>
        <v>0</v>
      </c>
      <c r="K9" s="108"/>
      <c r="L9" s="108"/>
      <c r="M9" s="108"/>
      <c r="N9" s="108"/>
      <c r="O9" s="108"/>
      <c r="P9" s="111"/>
    </row>
    <row r="10" spans="1:110" s="29" customFormat="1">
      <c r="B10" s="139"/>
      <c r="C10" s="116" t="s">
        <v>38</v>
      </c>
      <c r="D10" s="33" t="s">
        <v>0</v>
      </c>
      <c r="E10" s="34">
        <v>952.59299999999996</v>
      </c>
      <c r="F10" s="34">
        <f>570.417+70.63+499.55</f>
        <v>1140.597</v>
      </c>
      <c r="G10" s="34">
        <f>E10+F10</f>
        <v>2093.19</v>
      </c>
      <c r="H10" s="87">
        <v>415.01499999999999</v>
      </c>
      <c r="I10" s="34">
        <f t="shared" ref="I10:I26" si="1">G10-H10</f>
        <v>1678.1750000000002</v>
      </c>
      <c r="J10" s="45">
        <f t="shared" si="0"/>
        <v>0.19826914900224057</v>
      </c>
      <c r="K10" s="108">
        <f>E10+E11</f>
        <v>2381.779</v>
      </c>
      <c r="L10" s="108">
        <f>F10+F11</f>
        <v>-1446.4240000000002</v>
      </c>
      <c r="M10" s="108">
        <f>K10+L10</f>
        <v>935.35499999999979</v>
      </c>
      <c r="N10" s="108">
        <f>H10+H11</f>
        <v>829.221</v>
      </c>
      <c r="O10" s="108">
        <f>M10-N10</f>
        <v>106.13399999999979</v>
      </c>
      <c r="P10" s="111">
        <f>N10/M10</f>
        <v>0.88653078243020045</v>
      </c>
    </row>
    <row r="11" spans="1:110" s="29" customFormat="1">
      <c r="B11" s="139"/>
      <c r="C11" s="116"/>
      <c r="D11" s="33" t="s">
        <v>1</v>
      </c>
      <c r="E11" s="34">
        <v>1429.1859999999999</v>
      </c>
      <c r="F11" s="34">
        <f>-284.804-54.317-0.482+2.025-633.237-78.496-70.63-492.409-120.145-499.55-84.607-570.417+15.244+284.804</f>
        <v>-2587.0210000000002</v>
      </c>
      <c r="G11" s="34">
        <f>E11+F11+I10</f>
        <v>520.33999999999992</v>
      </c>
      <c r="H11" s="87">
        <v>414.20600000000002</v>
      </c>
      <c r="I11" s="34">
        <f t="shared" si="1"/>
        <v>106.1339999999999</v>
      </c>
      <c r="J11" s="45">
        <f t="shared" si="0"/>
        <v>0.79602951916054898</v>
      </c>
      <c r="K11" s="108"/>
      <c r="L11" s="108"/>
      <c r="M11" s="108"/>
      <c r="N11" s="108"/>
      <c r="O11" s="108"/>
      <c r="P11" s="111"/>
    </row>
    <row r="12" spans="1:110" s="29" customFormat="1">
      <c r="B12" s="139"/>
      <c r="C12" s="116" t="s">
        <v>81</v>
      </c>
      <c r="D12" s="33" t="s">
        <v>0</v>
      </c>
      <c r="E12" s="34">
        <v>9.6000000000000002E-2</v>
      </c>
      <c r="F12" s="34"/>
      <c r="G12" s="34">
        <f>E12+F12</f>
        <v>9.6000000000000002E-2</v>
      </c>
      <c r="H12" s="81"/>
      <c r="I12" s="34">
        <f t="shared" si="1"/>
        <v>9.6000000000000002E-2</v>
      </c>
      <c r="J12" s="45">
        <f t="shared" si="0"/>
        <v>0</v>
      </c>
      <c r="K12" s="108">
        <f>E12+E13</f>
        <v>0.24</v>
      </c>
      <c r="L12" s="108">
        <f>F12+F13</f>
        <v>0</v>
      </c>
      <c r="M12" s="108">
        <f>K12+L12</f>
        <v>0.24</v>
      </c>
      <c r="N12" s="108">
        <f>H12+H13</f>
        <v>0</v>
      </c>
      <c r="O12" s="108">
        <f>M12-N12</f>
        <v>0.24</v>
      </c>
      <c r="P12" s="111">
        <f>N12/M12</f>
        <v>0</v>
      </c>
    </row>
    <row r="13" spans="1:110" s="29" customFormat="1">
      <c r="B13" s="139"/>
      <c r="C13" s="116"/>
      <c r="D13" s="33" t="s">
        <v>1</v>
      </c>
      <c r="E13" s="34">
        <v>0.14399999999999999</v>
      </c>
      <c r="F13" s="34"/>
      <c r="G13" s="34">
        <f>E13+F13+I12</f>
        <v>0.24</v>
      </c>
      <c r="H13" s="81"/>
      <c r="I13" s="34">
        <f t="shared" si="1"/>
        <v>0.24</v>
      </c>
      <c r="J13" s="45">
        <f t="shared" si="0"/>
        <v>0</v>
      </c>
      <c r="K13" s="108"/>
      <c r="L13" s="108"/>
      <c r="M13" s="108"/>
      <c r="N13" s="108"/>
      <c r="O13" s="108"/>
      <c r="P13" s="111"/>
    </row>
    <row r="14" spans="1:110" s="29" customFormat="1">
      <c r="B14" s="139"/>
      <c r="C14" s="106" t="s">
        <v>121</v>
      </c>
      <c r="D14" s="33" t="s">
        <v>0</v>
      </c>
      <c r="E14" s="34">
        <v>9.6000000000000002E-2</v>
      </c>
      <c r="F14" s="34"/>
      <c r="G14" s="34">
        <f>E14+F14</f>
        <v>9.6000000000000002E-2</v>
      </c>
      <c r="H14" s="81"/>
      <c r="I14" s="34">
        <f t="shared" ref="I14:I21" si="2">G14-H14</f>
        <v>9.6000000000000002E-2</v>
      </c>
      <c r="J14" s="45">
        <f t="shared" ref="J14:J21" si="3">H14/G14</f>
        <v>0</v>
      </c>
      <c r="K14" s="108">
        <f t="shared" ref="K14" si="4">E14+E15</f>
        <v>0.24</v>
      </c>
      <c r="L14" s="108">
        <f t="shared" ref="L14" si="5">F14+F15</f>
        <v>0</v>
      </c>
      <c r="M14" s="108">
        <f t="shared" ref="M14" si="6">K14+L14</f>
        <v>0.24</v>
      </c>
      <c r="N14" s="108">
        <f t="shared" ref="N14" si="7">H14+H15</f>
        <v>0</v>
      </c>
      <c r="O14" s="108">
        <f t="shared" ref="O14" si="8">M14-N14</f>
        <v>0.24</v>
      </c>
      <c r="P14" s="111">
        <f t="shared" ref="P14" si="9">N14/M14</f>
        <v>0</v>
      </c>
    </row>
    <row r="15" spans="1:110" s="29" customFormat="1">
      <c r="B15" s="139"/>
      <c r="C15" s="107"/>
      <c r="D15" s="33" t="s">
        <v>1</v>
      </c>
      <c r="E15" s="34">
        <v>0.14399999999999999</v>
      </c>
      <c r="F15" s="34"/>
      <c r="G15" s="34">
        <f>E15+F15+I14</f>
        <v>0.24</v>
      </c>
      <c r="H15" s="81"/>
      <c r="I15" s="34">
        <f t="shared" si="2"/>
        <v>0.24</v>
      </c>
      <c r="J15" s="45">
        <f t="shared" si="3"/>
        <v>0</v>
      </c>
      <c r="K15" s="108"/>
      <c r="L15" s="108"/>
      <c r="M15" s="108"/>
      <c r="N15" s="108"/>
      <c r="O15" s="108"/>
      <c r="P15" s="111"/>
    </row>
    <row r="16" spans="1:110" s="29" customFormat="1">
      <c r="B16" s="139"/>
      <c r="C16" s="106" t="s">
        <v>122</v>
      </c>
      <c r="D16" s="33" t="s">
        <v>0</v>
      </c>
      <c r="E16" s="34">
        <v>9.6000000000000002E-2</v>
      </c>
      <c r="F16" s="34"/>
      <c r="G16" s="34">
        <f>E16+F16</f>
        <v>9.6000000000000002E-2</v>
      </c>
      <c r="H16" s="81"/>
      <c r="I16" s="34">
        <f t="shared" si="2"/>
        <v>9.6000000000000002E-2</v>
      </c>
      <c r="J16" s="45">
        <f t="shared" si="3"/>
        <v>0</v>
      </c>
      <c r="K16" s="108">
        <f t="shared" ref="K16" si="10">E16+E17</f>
        <v>0.24</v>
      </c>
      <c r="L16" s="108">
        <f t="shared" ref="L16" si="11">F16+F17</f>
        <v>0</v>
      </c>
      <c r="M16" s="108">
        <f t="shared" ref="M16" si="12">K16+L16</f>
        <v>0.24</v>
      </c>
      <c r="N16" s="108">
        <f t="shared" ref="N16" si="13">H16+H17</f>
        <v>0</v>
      </c>
      <c r="O16" s="108">
        <f t="shared" ref="O16" si="14">M16-N16</f>
        <v>0.24</v>
      </c>
      <c r="P16" s="111">
        <f t="shared" ref="P16" si="15">N16/M16</f>
        <v>0</v>
      </c>
    </row>
    <row r="17" spans="2:17" s="29" customFormat="1">
      <c r="B17" s="139"/>
      <c r="C17" s="107"/>
      <c r="D17" s="33" t="s">
        <v>1</v>
      </c>
      <c r="E17" s="34">
        <v>0.14399999999999999</v>
      </c>
      <c r="F17" s="34"/>
      <c r="G17" s="34">
        <f>E17+F17+I16</f>
        <v>0.24</v>
      </c>
      <c r="H17" s="81"/>
      <c r="I17" s="34">
        <f t="shared" si="2"/>
        <v>0.24</v>
      </c>
      <c r="J17" s="45">
        <f t="shared" si="3"/>
        <v>0</v>
      </c>
      <c r="K17" s="108"/>
      <c r="L17" s="108"/>
      <c r="M17" s="108"/>
      <c r="N17" s="108"/>
      <c r="O17" s="108"/>
      <c r="P17" s="111"/>
    </row>
    <row r="18" spans="2:17" s="29" customFormat="1">
      <c r="B18" s="139"/>
      <c r="C18" s="106" t="s">
        <v>123</v>
      </c>
      <c r="D18" s="33" t="s">
        <v>0</v>
      </c>
      <c r="E18" s="34">
        <v>9.6000000000000002E-2</v>
      </c>
      <c r="F18" s="34"/>
      <c r="G18" s="34">
        <f>E18+F18</f>
        <v>9.6000000000000002E-2</v>
      </c>
      <c r="H18" s="81"/>
      <c r="I18" s="34">
        <f t="shared" si="2"/>
        <v>9.6000000000000002E-2</v>
      </c>
      <c r="J18" s="45">
        <f t="shared" si="3"/>
        <v>0</v>
      </c>
      <c r="K18" s="108">
        <f t="shared" ref="K18" si="16">E18+E19</f>
        <v>0.24</v>
      </c>
      <c r="L18" s="108">
        <f t="shared" ref="L18" si="17">F18+F19</f>
        <v>0</v>
      </c>
      <c r="M18" s="108">
        <f t="shared" ref="M18" si="18">K18+L18</f>
        <v>0.24</v>
      </c>
      <c r="N18" s="108">
        <f t="shared" ref="N18" si="19">H18+H19</f>
        <v>0</v>
      </c>
      <c r="O18" s="108">
        <f t="shared" ref="O18" si="20">M18-N18</f>
        <v>0.24</v>
      </c>
      <c r="P18" s="111">
        <f t="shared" ref="P18" si="21">N18/M18</f>
        <v>0</v>
      </c>
    </row>
    <row r="19" spans="2:17" s="29" customFormat="1">
      <c r="B19" s="139"/>
      <c r="C19" s="107"/>
      <c r="D19" s="33" t="s">
        <v>1</v>
      </c>
      <c r="E19" s="34">
        <v>0.14399999999999999</v>
      </c>
      <c r="F19" s="34"/>
      <c r="G19" s="34">
        <f>E19+F19+I18</f>
        <v>0.24</v>
      </c>
      <c r="H19" s="81"/>
      <c r="I19" s="34">
        <f t="shared" si="2"/>
        <v>0.24</v>
      </c>
      <c r="J19" s="45">
        <f t="shared" si="3"/>
        <v>0</v>
      </c>
      <c r="K19" s="108"/>
      <c r="L19" s="108"/>
      <c r="M19" s="108"/>
      <c r="N19" s="108"/>
      <c r="O19" s="108"/>
      <c r="P19" s="111"/>
    </row>
    <row r="20" spans="2:17" s="29" customFormat="1">
      <c r="B20" s="139"/>
      <c r="C20" s="106" t="s">
        <v>124</v>
      </c>
      <c r="D20" s="33" t="s">
        <v>0</v>
      </c>
      <c r="E20" s="34">
        <v>9.6000000000000002E-2</v>
      </c>
      <c r="F20" s="34"/>
      <c r="G20" s="34">
        <f>E20+F20</f>
        <v>9.6000000000000002E-2</v>
      </c>
      <c r="H20" s="81"/>
      <c r="I20" s="34">
        <f t="shared" si="2"/>
        <v>9.6000000000000002E-2</v>
      </c>
      <c r="J20" s="45">
        <f t="shared" si="3"/>
        <v>0</v>
      </c>
      <c r="K20" s="108">
        <f t="shared" ref="K20" si="22">E20+E21</f>
        <v>0.24</v>
      </c>
      <c r="L20" s="108">
        <f t="shared" ref="L20" si="23">F20+F21</f>
        <v>0</v>
      </c>
      <c r="M20" s="108">
        <f t="shared" ref="M20" si="24">K20+L20</f>
        <v>0.24</v>
      </c>
      <c r="N20" s="108">
        <f t="shared" ref="N20" si="25">H20+H21</f>
        <v>0</v>
      </c>
      <c r="O20" s="108">
        <f t="shared" ref="O20" si="26">M20-N20</f>
        <v>0.24</v>
      </c>
      <c r="P20" s="111">
        <f t="shared" ref="P20" si="27">N20/M20</f>
        <v>0</v>
      </c>
    </row>
    <row r="21" spans="2:17" s="29" customFormat="1">
      <c r="B21" s="139"/>
      <c r="C21" s="107"/>
      <c r="D21" s="33" t="s">
        <v>1</v>
      </c>
      <c r="E21" s="34">
        <v>0.14399999999999999</v>
      </c>
      <c r="F21" s="34"/>
      <c r="G21" s="34">
        <f>E21+F21+I20</f>
        <v>0.24</v>
      </c>
      <c r="H21" s="81"/>
      <c r="I21" s="34">
        <f t="shared" si="2"/>
        <v>0.24</v>
      </c>
      <c r="J21" s="45">
        <f t="shared" si="3"/>
        <v>0</v>
      </c>
      <c r="K21" s="108"/>
      <c r="L21" s="108"/>
      <c r="M21" s="108"/>
      <c r="N21" s="108"/>
      <c r="O21" s="108"/>
      <c r="P21" s="111"/>
    </row>
    <row r="22" spans="2:17" s="29" customFormat="1">
      <c r="B22" s="139"/>
      <c r="C22" s="106" t="s">
        <v>82</v>
      </c>
      <c r="D22" s="33" t="s">
        <v>0</v>
      </c>
      <c r="E22" s="34">
        <v>0.96299999999999997</v>
      </c>
      <c r="F22" s="34"/>
      <c r="G22" s="34">
        <f>E22+F22</f>
        <v>0.96299999999999997</v>
      </c>
      <c r="H22" s="81"/>
      <c r="I22" s="34">
        <f t="shared" si="1"/>
        <v>0.96299999999999997</v>
      </c>
      <c r="J22" s="45">
        <f t="shared" si="0"/>
        <v>0</v>
      </c>
      <c r="K22" s="120">
        <f>E22+E23</f>
        <v>2.4079999999999999</v>
      </c>
      <c r="L22" s="120">
        <f>F22+F23</f>
        <v>0</v>
      </c>
      <c r="M22" s="120">
        <f>K22+L22</f>
        <v>2.4079999999999999</v>
      </c>
      <c r="N22" s="120">
        <f>H22+H23</f>
        <v>0</v>
      </c>
      <c r="O22" s="120">
        <f>M22-N22</f>
        <v>2.4079999999999999</v>
      </c>
      <c r="P22" s="122">
        <f>N22/M22</f>
        <v>0</v>
      </c>
    </row>
    <row r="23" spans="2:17" s="29" customFormat="1">
      <c r="B23" s="139"/>
      <c r="C23" s="107"/>
      <c r="D23" s="33" t="s">
        <v>1</v>
      </c>
      <c r="E23" s="34">
        <v>1.4450000000000001</v>
      </c>
      <c r="F23" s="34"/>
      <c r="G23" s="34">
        <f>E23+F23+I22</f>
        <v>2.4079999999999999</v>
      </c>
      <c r="H23" s="81"/>
      <c r="I23" s="34">
        <f t="shared" si="1"/>
        <v>2.4079999999999999</v>
      </c>
      <c r="J23" s="45">
        <f t="shared" si="0"/>
        <v>0</v>
      </c>
      <c r="K23" s="121"/>
      <c r="L23" s="121"/>
      <c r="M23" s="121"/>
      <c r="N23" s="121"/>
      <c r="O23" s="121"/>
      <c r="P23" s="123"/>
    </row>
    <row r="24" spans="2:17" s="29" customFormat="1" ht="15" customHeight="1">
      <c r="B24" s="139"/>
      <c r="C24" s="131" t="s">
        <v>83</v>
      </c>
      <c r="D24" s="33" t="s">
        <v>0</v>
      </c>
      <c r="E24" s="34">
        <f>0.064+0.074</f>
        <v>0.13800000000000001</v>
      </c>
      <c r="F24" s="34"/>
      <c r="G24" s="34">
        <f>E24+F24</f>
        <v>0.13800000000000001</v>
      </c>
      <c r="H24" s="81"/>
      <c r="I24" s="34">
        <f t="shared" si="1"/>
        <v>0.13800000000000001</v>
      </c>
      <c r="J24" s="45">
        <f t="shared" si="0"/>
        <v>0</v>
      </c>
      <c r="K24" s="108">
        <f>E24+E25</f>
        <v>0.34500000000000003</v>
      </c>
      <c r="L24" s="108">
        <f>F24+F25</f>
        <v>-0.161</v>
      </c>
      <c r="M24" s="108">
        <f>K24+L24</f>
        <v>0.18400000000000002</v>
      </c>
      <c r="N24" s="108">
        <f>H24+H25</f>
        <v>0</v>
      </c>
      <c r="O24" s="108">
        <f>M24-N24</f>
        <v>0.18400000000000002</v>
      </c>
      <c r="P24" s="111">
        <f>N24/M24</f>
        <v>0</v>
      </c>
      <c r="Q24" s="35"/>
    </row>
    <row r="25" spans="2:17" s="29" customFormat="1">
      <c r="B25" s="139"/>
      <c r="C25" s="131"/>
      <c r="D25" s="33" t="s">
        <v>1</v>
      </c>
      <c r="E25" s="34">
        <f>0.096+0.111</f>
        <v>0.20700000000000002</v>
      </c>
      <c r="F25" s="34">
        <f>-0.161</f>
        <v>-0.161</v>
      </c>
      <c r="G25" s="34">
        <f>E25+F25+I24</f>
        <v>0.18400000000000002</v>
      </c>
      <c r="H25" s="81"/>
      <c r="I25" s="34">
        <f t="shared" si="1"/>
        <v>0.18400000000000002</v>
      </c>
      <c r="J25" s="45">
        <f t="shared" si="0"/>
        <v>0</v>
      </c>
      <c r="K25" s="108"/>
      <c r="L25" s="108"/>
      <c r="M25" s="108"/>
      <c r="N25" s="108"/>
      <c r="O25" s="108"/>
      <c r="P25" s="111"/>
      <c r="Q25" s="35"/>
    </row>
    <row r="26" spans="2:17" s="29" customFormat="1" ht="15" customHeight="1">
      <c r="B26" s="139"/>
      <c r="C26" s="116" t="s">
        <v>84</v>
      </c>
      <c r="D26" s="33" t="s">
        <v>0</v>
      </c>
      <c r="E26" s="34">
        <v>17.527999999999999</v>
      </c>
      <c r="F26" s="34"/>
      <c r="G26" s="34">
        <f>E26+F26</f>
        <v>17.527999999999999</v>
      </c>
      <c r="H26" s="81"/>
      <c r="I26" s="34">
        <f t="shared" si="1"/>
        <v>17.527999999999999</v>
      </c>
      <c r="J26" s="45">
        <f t="shared" si="0"/>
        <v>0</v>
      </c>
      <c r="K26" s="108">
        <f>E26+E27</f>
        <v>43.825000000000003</v>
      </c>
      <c r="L26" s="108">
        <f>F26+F27</f>
        <v>0</v>
      </c>
      <c r="M26" s="108">
        <f>K26+L26</f>
        <v>43.825000000000003</v>
      </c>
      <c r="N26" s="108">
        <f>H26+H27</f>
        <v>0</v>
      </c>
      <c r="O26" s="108">
        <f>M26-N26</f>
        <v>43.825000000000003</v>
      </c>
      <c r="P26" s="111">
        <f>N26/M26</f>
        <v>0</v>
      </c>
      <c r="Q26" s="35"/>
    </row>
    <row r="27" spans="2:17" s="29" customFormat="1">
      <c r="B27" s="139"/>
      <c r="C27" s="116"/>
      <c r="D27" s="33" t="s">
        <v>1</v>
      </c>
      <c r="E27" s="34">
        <v>26.297000000000001</v>
      </c>
      <c r="F27" s="34"/>
      <c r="G27" s="34">
        <f>E27+F27+I26</f>
        <v>43.825000000000003</v>
      </c>
      <c r="H27" s="81"/>
      <c r="I27" s="34">
        <f>G27-H27</f>
        <v>43.825000000000003</v>
      </c>
      <c r="J27" s="45">
        <f t="shared" si="0"/>
        <v>0</v>
      </c>
      <c r="K27" s="108"/>
      <c r="L27" s="108"/>
      <c r="M27" s="108"/>
      <c r="N27" s="108"/>
      <c r="O27" s="108"/>
      <c r="P27" s="111"/>
      <c r="Q27" s="35"/>
    </row>
    <row r="28" spans="2:17" s="29" customFormat="1" ht="15" customHeight="1">
      <c r="B28" s="139"/>
      <c r="C28" s="131" t="s">
        <v>85</v>
      </c>
      <c r="D28" s="33" t="s">
        <v>0</v>
      </c>
      <c r="E28" s="34">
        <v>417.255</v>
      </c>
      <c r="F28" s="34">
        <f>-570.417</f>
        <v>-570.41700000000003</v>
      </c>
      <c r="G28" s="34">
        <f>E28+F28</f>
        <v>-153.16200000000003</v>
      </c>
      <c r="H28" s="87">
        <v>261.25299999999999</v>
      </c>
      <c r="I28" s="34">
        <f>G28-H28</f>
        <v>-414.41500000000002</v>
      </c>
      <c r="J28" s="45">
        <f t="shared" si="0"/>
        <v>-1.7057298807798273</v>
      </c>
      <c r="K28" s="108">
        <f>E28+E29</f>
        <v>1043.268</v>
      </c>
      <c r="L28" s="108">
        <f>F28+F29</f>
        <v>-510.45944000000003</v>
      </c>
      <c r="M28" s="108">
        <f>K28+L28</f>
        <v>532.80855999999994</v>
      </c>
      <c r="N28" s="108">
        <f>H28+H29</f>
        <v>514.774</v>
      </c>
      <c r="O28" s="108">
        <f>M28-N28</f>
        <v>18.034559999999942</v>
      </c>
      <c r="P28" s="111">
        <f>N28/M28</f>
        <v>0.96615189515724009</v>
      </c>
      <c r="Q28" s="35"/>
    </row>
    <row r="29" spans="2:17" s="29" customFormat="1">
      <c r="B29" s="139"/>
      <c r="C29" s="131"/>
      <c r="D29" s="33" t="s">
        <v>1</v>
      </c>
      <c r="E29" s="34">
        <v>626.01300000000003</v>
      </c>
      <c r="F29" s="34">
        <f>-1004.719+120.145+499.55+84.607+570.417-160.03844-50.004</f>
        <v>59.957559999999994</v>
      </c>
      <c r="G29" s="34">
        <f>E29+F29+I28</f>
        <v>271.55555999999996</v>
      </c>
      <c r="H29" s="87">
        <v>253.52099999999999</v>
      </c>
      <c r="I29" s="34">
        <f t="shared" ref="I29:I38" si="28">G29-H29</f>
        <v>18.034559999999971</v>
      </c>
      <c r="J29" s="45">
        <f t="shared" si="0"/>
        <v>0.93358795526042637</v>
      </c>
      <c r="K29" s="108"/>
      <c r="L29" s="108"/>
      <c r="M29" s="108"/>
      <c r="N29" s="108"/>
      <c r="O29" s="108"/>
      <c r="P29" s="111"/>
      <c r="Q29" s="35"/>
    </row>
    <row r="30" spans="2:17" s="29" customFormat="1" ht="15" customHeight="1">
      <c r="B30" s="139"/>
      <c r="C30" s="116" t="s">
        <v>86</v>
      </c>
      <c r="D30" s="33" t="s">
        <v>0</v>
      </c>
      <c r="E30" s="34">
        <f>0.161</f>
        <v>0.161</v>
      </c>
      <c r="F30" s="34"/>
      <c r="G30" s="34">
        <f>E30+F30</f>
        <v>0.161</v>
      </c>
      <c r="H30" s="81"/>
      <c r="I30" s="34">
        <f t="shared" si="28"/>
        <v>0.161</v>
      </c>
      <c r="J30" s="45">
        <f t="shared" si="0"/>
        <v>0</v>
      </c>
      <c r="K30" s="108">
        <f>E30+E31</f>
        <v>0.40200000000000002</v>
      </c>
      <c r="L30" s="108">
        <f>F30+F31</f>
        <v>-0.40129999999999999</v>
      </c>
      <c r="M30" s="108">
        <f>K30+L30</f>
        <v>7.0000000000003393E-4</v>
      </c>
      <c r="N30" s="108">
        <f>H30+H31</f>
        <v>0</v>
      </c>
      <c r="O30" s="108">
        <f>M30-N30</f>
        <v>7.0000000000003393E-4</v>
      </c>
      <c r="P30" s="111">
        <f>N30/M30</f>
        <v>0</v>
      </c>
      <c r="Q30" s="35"/>
    </row>
    <row r="31" spans="2:17" s="29" customFormat="1">
      <c r="B31" s="139"/>
      <c r="C31" s="116"/>
      <c r="D31" s="33" t="s">
        <v>1</v>
      </c>
      <c r="E31" s="34">
        <f>0.241</f>
        <v>0.24099999999999999</v>
      </c>
      <c r="F31" s="34">
        <f>-0.4013</f>
        <v>-0.40129999999999999</v>
      </c>
      <c r="G31" s="34">
        <f>E31+F31+I30</f>
        <v>7.0000000000000617E-4</v>
      </c>
      <c r="H31" s="81"/>
      <c r="I31" s="34">
        <f t="shared" si="28"/>
        <v>7.0000000000000617E-4</v>
      </c>
      <c r="J31" s="45">
        <f t="shared" si="0"/>
        <v>0</v>
      </c>
      <c r="K31" s="108"/>
      <c r="L31" s="108"/>
      <c r="M31" s="108"/>
      <c r="N31" s="108"/>
      <c r="O31" s="108"/>
      <c r="P31" s="111"/>
      <c r="Q31" s="35"/>
    </row>
    <row r="32" spans="2:17" s="29" customFormat="1" ht="15" customHeight="1">
      <c r="B32" s="139"/>
      <c r="C32" s="116" t="s">
        <v>87</v>
      </c>
      <c r="D32" s="33" t="s">
        <v>0</v>
      </c>
      <c r="E32" s="34">
        <f>15.613</f>
        <v>15.613</v>
      </c>
      <c r="F32" s="34"/>
      <c r="G32" s="34">
        <f>E32+F32</f>
        <v>15.613</v>
      </c>
      <c r="H32" s="81"/>
      <c r="I32" s="34">
        <f t="shared" si="28"/>
        <v>15.613</v>
      </c>
      <c r="J32" s="45">
        <f t="shared" si="0"/>
        <v>0</v>
      </c>
      <c r="K32" s="108">
        <f>E32+E33</f>
        <v>39.037999999999997</v>
      </c>
      <c r="L32" s="108">
        <f>F32+F33</f>
        <v>39.394540000000006</v>
      </c>
      <c r="M32" s="108">
        <f>K32+L32</f>
        <v>78.432540000000003</v>
      </c>
      <c r="N32" s="108">
        <f>H32+H33</f>
        <v>3.86</v>
      </c>
      <c r="O32" s="108">
        <f>M32-N32</f>
        <v>74.572540000000004</v>
      </c>
      <c r="P32" s="111">
        <f>N32/M32</f>
        <v>4.9214267445629067E-2</v>
      </c>
      <c r="Q32" s="35"/>
    </row>
    <row r="33" spans="2:16" s="29" customFormat="1">
      <c r="B33" s="139"/>
      <c r="C33" s="116"/>
      <c r="D33" s="33" t="s">
        <v>1</v>
      </c>
      <c r="E33" s="34">
        <f>23.425</f>
        <v>23.425000000000001</v>
      </c>
      <c r="F33" s="34">
        <f>284.804+54.317+0.482-0.16046-15.244-284.804</f>
        <v>39.394540000000006</v>
      </c>
      <c r="G33" s="34">
        <f>E33+F33+I32</f>
        <v>78.432540000000003</v>
      </c>
      <c r="H33" s="87">
        <v>3.86</v>
      </c>
      <c r="I33" s="34">
        <f t="shared" si="28"/>
        <v>74.572540000000004</v>
      </c>
      <c r="J33" s="45">
        <f t="shared" si="0"/>
        <v>4.9214267445629067E-2</v>
      </c>
      <c r="K33" s="108"/>
      <c r="L33" s="108"/>
      <c r="M33" s="108"/>
      <c r="N33" s="108"/>
      <c r="O33" s="108"/>
      <c r="P33" s="111"/>
    </row>
    <row r="34" spans="2:16" s="29" customFormat="1">
      <c r="B34" s="139"/>
      <c r="C34" s="116" t="s">
        <v>88</v>
      </c>
      <c r="D34" s="33" t="s">
        <v>0</v>
      </c>
      <c r="E34" s="34">
        <f>0.449</f>
        <v>0.44900000000000001</v>
      </c>
      <c r="F34" s="34"/>
      <c r="G34" s="34">
        <f>E34+F34</f>
        <v>0.44900000000000001</v>
      </c>
      <c r="H34" s="81"/>
      <c r="I34" s="34">
        <f t="shared" si="28"/>
        <v>0.44900000000000001</v>
      </c>
      <c r="J34" s="45">
        <f t="shared" si="0"/>
        <v>0</v>
      </c>
      <c r="K34" s="108">
        <f>E34+E35</f>
        <v>1.123</v>
      </c>
      <c r="L34" s="108">
        <f>F34+F35</f>
        <v>0</v>
      </c>
      <c r="M34" s="108">
        <f>K34+L34</f>
        <v>1.123</v>
      </c>
      <c r="N34" s="108">
        <f>H34+H35</f>
        <v>0</v>
      </c>
      <c r="O34" s="108">
        <f>M34-N34</f>
        <v>1.123</v>
      </c>
      <c r="P34" s="111">
        <f>N34/M34</f>
        <v>0</v>
      </c>
    </row>
    <row r="35" spans="2:16" s="29" customFormat="1">
      <c r="B35" s="139"/>
      <c r="C35" s="116"/>
      <c r="D35" s="33" t="s">
        <v>1</v>
      </c>
      <c r="E35" s="34">
        <f>0.674</f>
        <v>0.67400000000000004</v>
      </c>
      <c r="F35" s="34"/>
      <c r="G35" s="34">
        <f>E35+F35+I34</f>
        <v>1.123</v>
      </c>
      <c r="H35" s="81"/>
      <c r="I35" s="34">
        <f t="shared" si="28"/>
        <v>1.123</v>
      </c>
      <c r="J35" s="45">
        <f t="shared" si="0"/>
        <v>0</v>
      </c>
      <c r="K35" s="108"/>
      <c r="L35" s="108"/>
      <c r="M35" s="108"/>
      <c r="N35" s="108"/>
      <c r="O35" s="108"/>
      <c r="P35" s="111"/>
    </row>
    <row r="36" spans="2:16" s="29" customFormat="1" ht="15" customHeight="1">
      <c r="B36" s="139"/>
      <c r="C36" s="116" t="s">
        <v>89</v>
      </c>
      <c r="D36" s="33" t="s">
        <v>0</v>
      </c>
      <c r="E36" s="34">
        <f>106.545+17.044+94.372+750.275+391.62+8.255</f>
        <v>1368.1110000000001</v>
      </c>
      <c r="F36" s="34">
        <f>-3420.704</f>
        <v>-3420.7040000000002</v>
      </c>
      <c r="G36" s="34">
        <f>E36+F36</f>
        <v>-2052.5929999999998</v>
      </c>
      <c r="H36" s="81"/>
      <c r="I36" s="34">
        <f t="shared" si="28"/>
        <v>-2052.5929999999998</v>
      </c>
      <c r="J36" s="45">
        <f t="shared" si="0"/>
        <v>0</v>
      </c>
      <c r="K36" s="108">
        <f>E36+E37</f>
        <v>3420.7040000000006</v>
      </c>
      <c r="L36" s="108">
        <f>F36+F37</f>
        <v>-3420.7040000000002</v>
      </c>
      <c r="M36" s="108">
        <f>K36+L36</f>
        <v>0</v>
      </c>
      <c r="N36" s="108">
        <f>H36+H37</f>
        <v>0</v>
      </c>
      <c r="O36" s="108">
        <f>M36-N36</f>
        <v>0</v>
      </c>
      <c r="P36" s="111">
        <v>0</v>
      </c>
    </row>
    <row r="37" spans="2:16" s="29" customFormat="1">
      <c r="B37" s="139"/>
      <c r="C37" s="116"/>
      <c r="D37" s="33" t="s">
        <v>1</v>
      </c>
      <c r="E37" s="34">
        <f>159.851+25.571+141.588+1125.646+587.552+12.385</f>
        <v>2052.5930000000003</v>
      </c>
      <c r="F37" s="34"/>
      <c r="G37" s="34">
        <f>E37+F37+I36</f>
        <v>0</v>
      </c>
      <c r="H37" s="81"/>
      <c r="I37" s="34">
        <f t="shared" si="28"/>
        <v>0</v>
      </c>
      <c r="J37" s="45" t="e">
        <f t="shared" si="0"/>
        <v>#DIV/0!</v>
      </c>
      <c r="K37" s="108"/>
      <c r="L37" s="108"/>
      <c r="M37" s="108"/>
      <c r="N37" s="108"/>
      <c r="O37" s="108"/>
      <c r="P37" s="111"/>
    </row>
    <row r="38" spans="2:16" s="29" customFormat="1" ht="15" customHeight="1">
      <c r="B38" s="139"/>
      <c r="C38" s="116" t="s">
        <v>90</v>
      </c>
      <c r="D38" s="33" t="s">
        <v>0</v>
      </c>
      <c r="E38" s="34">
        <v>3.2000000000000001E-2</v>
      </c>
      <c r="F38" s="34"/>
      <c r="G38" s="34">
        <f>E38+F38</f>
        <v>3.2000000000000001E-2</v>
      </c>
      <c r="H38" s="81"/>
      <c r="I38" s="34">
        <f t="shared" si="28"/>
        <v>3.2000000000000001E-2</v>
      </c>
      <c r="J38" s="45">
        <f t="shared" si="0"/>
        <v>0</v>
      </c>
      <c r="K38" s="108">
        <f>E38+E39</f>
        <v>8.1000000000000003E-2</v>
      </c>
      <c r="L38" s="108">
        <f>F38+F39</f>
        <v>0</v>
      </c>
      <c r="M38" s="108">
        <f>K38+L38</f>
        <v>8.1000000000000003E-2</v>
      </c>
      <c r="N38" s="108">
        <f>H38+H39</f>
        <v>0</v>
      </c>
      <c r="O38" s="108">
        <f>M38-N38</f>
        <v>8.1000000000000003E-2</v>
      </c>
      <c r="P38" s="111">
        <f>N38/M38</f>
        <v>0</v>
      </c>
    </row>
    <row r="39" spans="2:16" s="29" customFormat="1">
      <c r="B39" s="139"/>
      <c r="C39" s="116"/>
      <c r="D39" s="33" t="s">
        <v>1</v>
      </c>
      <c r="E39" s="34">
        <v>4.9000000000000002E-2</v>
      </c>
      <c r="F39" s="34"/>
      <c r="G39" s="34">
        <f>E39+F39+I38</f>
        <v>8.1000000000000003E-2</v>
      </c>
      <c r="H39" s="81"/>
      <c r="I39" s="34">
        <f t="shared" ref="I39:I45" si="29">G39-H39</f>
        <v>8.1000000000000003E-2</v>
      </c>
      <c r="J39" s="45">
        <f t="shared" si="0"/>
        <v>0</v>
      </c>
      <c r="K39" s="108"/>
      <c r="L39" s="108"/>
      <c r="M39" s="108"/>
      <c r="N39" s="108"/>
      <c r="O39" s="108"/>
      <c r="P39" s="111"/>
    </row>
    <row r="40" spans="2:16" s="29" customFormat="1">
      <c r="B40" s="139"/>
      <c r="C40" s="116" t="s">
        <v>59</v>
      </c>
      <c r="D40" s="33" t="s">
        <v>0</v>
      </c>
      <c r="E40" s="34">
        <v>3.2000000000000001E-2</v>
      </c>
      <c r="F40" s="34"/>
      <c r="G40" s="34">
        <f>E40+F40</f>
        <v>3.2000000000000001E-2</v>
      </c>
      <c r="H40" s="81"/>
      <c r="I40" s="34">
        <f t="shared" si="29"/>
        <v>3.2000000000000001E-2</v>
      </c>
      <c r="J40" s="45">
        <f t="shared" si="0"/>
        <v>0</v>
      </c>
      <c r="K40" s="108">
        <f>E40+E41</f>
        <v>8.1000000000000003E-2</v>
      </c>
      <c r="L40" s="108">
        <f>F40+F41</f>
        <v>0</v>
      </c>
      <c r="M40" s="108">
        <f>K40+L40</f>
        <v>8.1000000000000003E-2</v>
      </c>
      <c r="N40" s="108">
        <f>H40+H41</f>
        <v>0</v>
      </c>
      <c r="O40" s="108">
        <f>M40-N40</f>
        <v>8.1000000000000003E-2</v>
      </c>
      <c r="P40" s="111">
        <f>N40/M40</f>
        <v>0</v>
      </c>
    </row>
    <row r="41" spans="2:16" s="29" customFormat="1">
      <c r="B41" s="139"/>
      <c r="C41" s="116"/>
      <c r="D41" s="33" t="s">
        <v>1</v>
      </c>
      <c r="E41" s="34">
        <v>4.9000000000000002E-2</v>
      </c>
      <c r="F41" s="34"/>
      <c r="G41" s="34">
        <f>E41+F41+I40</f>
        <v>8.1000000000000003E-2</v>
      </c>
      <c r="H41" s="81"/>
      <c r="I41" s="34">
        <f t="shared" si="29"/>
        <v>8.1000000000000003E-2</v>
      </c>
      <c r="J41" s="45">
        <f t="shared" si="0"/>
        <v>0</v>
      </c>
      <c r="K41" s="108"/>
      <c r="L41" s="108"/>
      <c r="M41" s="108"/>
      <c r="N41" s="108"/>
      <c r="O41" s="108"/>
      <c r="P41" s="111"/>
    </row>
    <row r="42" spans="2:16" s="29" customFormat="1">
      <c r="B42" s="139"/>
      <c r="C42" s="116" t="s">
        <v>91</v>
      </c>
      <c r="D42" s="33" t="s">
        <v>0</v>
      </c>
      <c r="E42" s="34">
        <v>3.2000000000000001E-2</v>
      </c>
      <c r="F42" s="34"/>
      <c r="G42" s="34">
        <f>E42+F42</f>
        <v>3.2000000000000001E-2</v>
      </c>
      <c r="H42" s="81"/>
      <c r="I42" s="34">
        <f t="shared" si="29"/>
        <v>3.2000000000000001E-2</v>
      </c>
      <c r="J42" s="45">
        <f t="shared" si="0"/>
        <v>0</v>
      </c>
      <c r="K42" s="108">
        <f>E42+E43</f>
        <v>8.1000000000000003E-2</v>
      </c>
      <c r="L42" s="108">
        <f>F42+F43</f>
        <v>0</v>
      </c>
      <c r="M42" s="108">
        <f>K42+L42</f>
        <v>8.1000000000000003E-2</v>
      </c>
      <c r="N42" s="108">
        <f>H42+H43</f>
        <v>0</v>
      </c>
      <c r="O42" s="108">
        <f>M42-N42</f>
        <v>8.1000000000000003E-2</v>
      </c>
      <c r="P42" s="111">
        <f>N42/M42</f>
        <v>0</v>
      </c>
    </row>
    <row r="43" spans="2:16" s="29" customFormat="1">
      <c r="B43" s="139"/>
      <c r="C43" s="116"/>
      <c r="D43" s="33" t="s">
        <v>1</v>
      </c>
      <c r="E43" s="34">
        <v>4.9000000000000002E-2</v>
      </c>
      <c r="F43" s="34"/>
      <c r="G43" s="34">
        <f>E43+F43+I42</f>
        <v>8.1000000000000003E-2</v>
      </c>
      <c r="H43" s="81"/>
      <c r="I43" s="34">
        <f t="shared" si="29"/>
        <v>8.1000000000000003E-2</v>
      </c>
      <c r="J43" s="45">
        <f t="shared" si="0"/>
        <v>0</v>
      </c>
      <c r="K43" s="108"/>
      <c r="L43" s="108"/>
      <c r="M43" s="108"/>
      <c r="N43" s="108"/>
      <c r="O43" s="108"/>
      <c r="P43" s="111"/>
    </row>
    <row r="44" spans="2:16" s="29" customFormat="1">
      <c r="B44" s="139"/>
      <c r="C44" s="116" t="s">
        <v>92</v>
      </c>
      <c r="D44" s="33" t="s">
        <v>0</v>
      </c>
      <c r="E44" s="34">
        <v>12.544</v>
      </c>
      <c r="F44" s="34"/>
      <c r="G44" s="34">
        <f>E44+F44</f>
        <v>12.544</v>
      </c>
      <c r="H44" s="81"/>
      <c r="I44" s="34">
        <f t="shared" si="29"/>
        <v>12.544</v>
      </c>
      <c r="J44" s="45">
        <f t="shared" si="0"/>
        <v>0</v>
      </c>
      <c r="K44" s="108">
        <f>E44+E45</f>
        <v>31.364000000000001</v>
      </c>
      <c r="L44" s="108">
        <f>F44+F45</f>
        <v>0</v>
      </c>
      <c r="M44" s="108">
        <f>K44+L44</f>
        <v>31.364000000000001</v>
      </c>
      <c r="N44" s="108">
        <f>H44+H45</f>
        <v>0</v>
      </c>
      <c r="O44" s="108">
        <f>M44-N44</f>
        <v>31.364000000000001</v>
      </c>
      <c r="P44" s="111">
        <f>N44/M44</f>
        <v>0</v>
      </c>
    </row>
    <row r="45" spans="2:16" s="29" customFormat="1">
      <c r="B45" s="139"/>
      <c r="C45" s="116"/>
      <c r="D45" s="33" t="s">
        <v>1</v>
      </c>
      <c r="E45" s="34">
        <v>18.82</v>
      </c>
      <c r="F45" s="34"/>
      <c r="G45" s="34">
        <f>E45+F45+I44</f>
        <v>31.364000000000001</v>
      </c>
      <c r="H45" s="81"/>
      <c r="I45" s="34">
        <f t="shared" si="29"/>
        <v>31.364000000000001</v>
      </c>
      <c r="J45" s="45">
        <f t="shared" si="0"/>
        <v>0</v>
      </c>
      <c r="K45" s="108"/>
      <c r="L45" s="108"/>
      <c r="M45" s="108"/>
      <c r="N45" s="108"/>
      <c r="O45" s="108"/>
      <c r="P45" s="111"/>
    </row>
    <row r="46" spans="2:16" s="29" customFormat="1">
      <c r="B46" s="139"/>
      <c r="C46" s="128" t="s">
        <v>93</v>
      </c>
      <c r="D46" s="33" t="s">
        <v>0</v>
      </c>
      <c r="E46" s="34">
        <v>1.0229999999999999</v>
      </c>
      <c r="F46" s="34"/>
      <c r="G46" s="34">
        <f>E46+F46</f>
        <v>1.0229999999999999</v>
      </c>
      <c r="H46" s="81"/>
      <c r="I46" s="34">
        <f t="shared" ref="I46:I53" si="30">+G46-H46</f>
        <v>1.0229999999999999</v>
      </c>
      <c r="J46" s="45">
        <f t="shared" si="0"/>
        <v>0</v>
      </c>
      <c r="K46" s="120">
        <f>E46+E47</f>
        <v>2.5579999999999998</v>
      </c>
      <c r="L46" s="120">
        <f>F46+F47</f>
        <v>0</v>
      </c>
      <c r="M46" s="120">
        <f>K46+L46</f>
        <v>2.5579999999999998</v>
      </c>
      <c r="N46" s="120">
        <f>H46+H47</f>
        <v>0</v>
      </c>
      <c r="O46" s="120">
        <f>M46-N46</f>
        <v>2.5579999999999998</v>
      </c>
      <c r="P46" s="122">
        <f>N46/M46</f>
        <v>0</v>
      </c>
    </row>
    <row r="47" spans="2:16" s="29" customFormat="1">
      <c r="B47" s="139"/>
      <c r="C47" s="129"/>
      <c r="D47" s="33" t="s">
        <v>1</v>
      </c>
      <c r="E47" s="34">
        <v>1.5349999999999999</v>
      </c>
      <c r="F47" s="34"/>
      <c r="G47" s="34">
        <f>E47+F47+I46</f>
        <v>2.5579999999999998</v>
      </c>
      <c r="H47" s="81"/>
      <c r="I47" s="34">
        <f t="shared" si="30"/>
        <v>2.5579999999999998</v>
      </c>
      <c r="J47" s="45">
        <f t="shared" si="0"/>
        <v>0</v>
      </c>
      <c r="K47" s="121"/>
      <c r="L47" s="121"/>
      <c r="M47" s="121"/>
      <c r="N47" s="121"/>
      <c r="O47" s="121"/>
      <c r="P47" s="123"/>
    </row>
    <row r="48" spans="2:16" s="29" customFormat="1">
      <c r="B48" s="139"/>
      <c r="C48" s="116" t="s">
        <v>94</v>
      </c>
      <c r="D48" s="33" t="s">
        <v>0</v>
      </c>
      <c r="E48" s="34">
        <v>408.45100000000002</v>
      </c>
      <c r="F48" s="81">
        <f>-70.63-499.55</f>
        <v>-570.18000000000006</v>
      </c>
      <c r="G48" s="34">
        <f>E48+F48</f>
        <v>-161.72900000000004</v>
      </c>
      <c r="H48" s="87">
        <v>211.727</v>
      </c>
      <c r="I48" s="34">
        <f t="shared" si="30"/>
        <v>-373.45600000000002</v>
      </c>
      <c r="J48" s="45">
        <f t="shared" si="0"/>
        <v>-1.3091467825807366</v>
      </c>
      <c r="K48" s="108">
        <f>E48+E49</f>
        <v>1021.254</v>
      </c>
      <c r="L48" s="108">
        <f>F48+F49</f>
        <v>-395.22082000000012</v>
      </c>
      <c r="M48" s="108">
        <f>K48+L48</f>
        <v>626.0331799999999</v>
      </c>
      <c r="N48" s="108">
        <f>H48+H49</f>
        <v>568.76300000000003</v>
      </c>
      <c r="O48" s="108">
        <f>M48-N48</f>
        <v>57.270179999999868</v>
      </c>
      <c r="P48" s="111">
        <f>N48/M48</f>
        <v>0.90851893824541397</v>
      </c>
    </row>
    <row r="49" spans="2:16" s="29" customFormat="1">
      <c r="B49" s="139"/>
      <c r="C49" s="116"/>
      <c r="D49" s="33" t="s">
        <v>1</v>
      </c>
      <c r="E49" s="34">
        <v>612.803</v>
      </c>
      <c r="F49" s="34">
        <f>-914.722+633.237+78.496+70.63+492.409-140.0537-70+50.004-25.04112</f>
        <v>174.95917999999995</v>
      </c>
      <c r="G49" s="34">
        <f>E49+F49+I48</f>
        <v>414.30617999999993</v>
      </c>
      <c r="H49" s="87">
        <v>357.036</v>
      </c>
      <c r="I49" s="34">
        <f>+G49-H49</f>
        <v>57.270179999999925</v>
      </c>
      <c r="J49" s="45">
        <f t="shared" si="0"/>
        <v>0.86176846312068056</v>
      </c>
      <c r="K49" s="108"/>
      <c r="L49" s="108"/>
      <c r="M49" s="108"/>
      <c r="N49" s="108"/>
      <c r="O49" s="108"/>
      <c r="P49" s="111"/>
    </row>
    <row r="50" spans="2:16" s="29" customFormat="1">
      <c r="B50" s="139"/>
      <c r="C50" s="106" t="s">
        <v>3</v>
      </c>
      <c r="D50" s="33" t="s">
        <v>0</v>
      </c>
      <c r="E50" s="34">
        <v>13.334</v>
      </c>
      <c r="F50" s="34"/>
      <c r="G50" s="34">
        <f>E50+F50</f>
        <v>13.334</v>
      </c>
      <c r="H50" s="81"/>
      <c r="I50" s="34">
        <f t="shared" si="30"/>
        <v>13.334</v>
      </c>
      <c r="J50" s="45">
        <f t="shared" si="0"/>
        <v>0</v>
      </c>
      <c r="K50" s="108">
        <f>E50+E51</f>
        <v>33.338999999999999</v>
      </c>
      <c r="L50" s="108">
        <f>F50+F51</f>
        <v>0</v>
      </c>
      <c r="M50" s="108">
        <f>K50+L50</f>
        <v>33.338999999999999</v>
      </c>
      <c r="N50" s="108">
        <f>H50+H51</f>
        <v>0</v>
      </c>
      <c r="O50" s="108">
        <f>M50-N50</f>
        <v>33.338999999999999</v>
      </c>
      <c r="P50" s="111">
        <f>N50/M50</f>
        <v>0</v>
      </c>
    </row>
    <row r="51" spans="2:16" s="29" customFormat="1">
      <c r="B51" s="139"/>
      <c r="C51" s="107"/>
      <c r="D51" s="33" t="s">
        <v>1</v>
      </c>
      <c r="E51" s="34">
        <v>20.004999999999999</v>
      </c>
      <c r="F51" s="34"/>
      <c r="G51" s="34">
        <f>E51+F51+I50</f>
        <v>33.338999999999999</v>
      </c>
      <c r="H51" s="81"/>
      <c r="I51" s="34">
        <f t="shared" si="30"/>
        <v>33.338999999999999</v>
      </c>
      <c r="J51" s="45">
        <f t="shared" si="0"/>
        <v>0</v>
      </c>
      <c r="K51" s="108"/>
      <c r="L51" s="108"/>
      <c r="M51" s="108"/>
      <c r="N51" s="108"/>
      <c r="O51" s="108"/>
      <c r="P51" s="111"/>
    </row>
    <row r="52" spans="2:16" s="29" customFormat="1">
      <c r="B52" s="139"/>
      <c r="C52" s="106" t="s">
        <v>4</v>
      </c>
      <c r="D52" s="33" t="s">
        <v>0</v>
      </c>
      <c r="E52" s="34">
        <v>3.2000000000000001E-2</v>
      </c>
      <c r="F52" s="34">
        <f>0.053</f>
        <v>5.2999999999999999E-2</v>
      </c>
      <c r="G52" s="34">
        <f>E52+F52</f>
        <v>8.4999999999999992E-2</v>
      </c>
      <c r="H52" s="81"/>
      <c r="I52" s="34">
        <f t="shared" si="30"/>
        <v>8.4999999999999992E-2</v>
      </c>
      <c r="J52" s="45">
        <f t="shared" si="0"/>
        <v>0</v>
      </c>
      <c r="K52" s="108">
        <f>E52+E53</f>
        <v>8.1000000000000003E-2</v>
      </c>
      <c r="L52" s="108">
        <f>F52+F53</f>
        <v>5.2999999999999999E-2</v>
      </c>
      <c r="M52" s="108">
        <f>K52+L52</f>
        <v>0.13400000000000001</v>
      </c>
      <c r="N52" s="108">
        <f>H52+H53</f>
        <v>0</v>
      </c>
      <c r="O52" s="108">
        <f>M52-N52</f>
        <v>0.13400000000000001</v>
      </c>
      <c r="P52" s="111">
        <f>N52/M52</f>
        <v>0</v>
      </c>
    </row>
    <row r="53" spans="2:16" s="29" customFormat="1">
      <c r="B53" s="139"/>
      <c r="C53" s="107"/>
      <c r="D53" s="33" t="s">
        <v>1</v>
      </c>
      <c r="E53" s="34">
        <v>4.9000000000000002E-2</v>
      </c>
      <c r="F53" s="34"/>
      <c r="G53" s="34">
        <f>E53+F53+I52</f>
        <v>0.13400000000000001</v>
      </c>
      <c r="H53" s="81"/>
      <c r="I53" s="34">
        <f t="shared" si="30"/>
        <v>0.13400000000000001</v>
      </c>
      <c r="J53" s="45">
        <f t="shared" si="0"/>
        <v>0</v>
      </c>
      <c r="K53" s="108"/>
      <c r="L53" s="108"/>
      <c r="M53" s="108"/>
      <c r="N53" s="108"/>
      <c r="O53" s="108"/>
      <c r="P53" s="111"/>
    </row>
    <row r="54" spans="2:16" s="29" customFormat="1">
      <c r="B54" s="139"/>
      <c r="C54" s="116" t="s">
        <v>95</v>
      </c>
      <c r="D54" s="33" t="s">
        <v>0</v>
      </c>
      <c r="E54" s="34">
        <v>0.128</v>
      </c>
      <c r="F54" s="34"/>
      <c r="G54" s="34">
        <f>E54+F54</f>
        <v>0.128</v>
      </c>
      <c r="H54" s="81"/>
      <c r="I54" s="34">
        <f t="shared" ref="I54:I71" si="31">G54-H54</f>
        <v>0.128</v>
      </c>
      <c r="J54" s="45">
        <f t="shared" si="0"/>
        <v>0</v>
      </c>
      <c r="K54" s="108">
        <f>E54+E55</f>
        <v>0.32100000000000001</v>
      </c>
      <c r="L54" s="108">
        <f>F54+F55</f>
        <v>0</v>
      </c>
      <c r="M54" s="108">
        <f>K54+L54</f>
        <v>0.32100000000000001</v>
      </c>
      <c r="N54" s="108">
        <f>H54+H55</f>
        <v>0</v>
      </c>
      <c r="O54" s="108">
        <f>M54-N54</f>
        <v>0.32100000000000001</v>
      </c>
      <c r="P54" s="111">
        <f>N54/M54</f>
        <v>0</v>
      </c>
    </row>
    <row r="55" spans="2:16" s="29" customFormat="1">
      <c r="B55" s="139"/>
      <c r="C55" s="116"/>
      <c r="D55" s="33" t="s">
        <v>1</v>
      </c>
      <c r="E55" s="34">
        <v>0.193</v>
      </c>
      <c r="F55" s="34"/>
      <c r="G55" s="34">
        <f>E55+F55+I54</f>
        <v>0.32100000000000001</v>
      </c>
      <c r="H55" s="81"/>
      <c r="I55" s="34">
        <f t="shared" si="31"/>
        <v>0.32100000000000001</v>
      </c>
      <c r="J55" s="45">
        <f t="shared" si="0"/>
        <v>0</v>
      </c>
      <c r="K55" s="108"/>
      <c r="L55" s="108"/>
      <c r="M55" s="108"/>
      <c r="N55" s="108"/>
      <c r="O55" s="108"/>
      <c r="P55" s="111"/>
    </row>
    <row r="56" spans="2:16" s="29" customFormat="1">
      <c r="B56" s="139"/>
      <c r="C56" s="106" t="s">
        <v>117</v>
      </c>
      <c r="D56" s="33" t="s">
        <v>0</v>
      </c>
      <c r="E56" s="34">
        <v>3.2000000000000001E-2</v>
      </c>
      <c r="F56" s="34"/>
      <c r="G56" s="34">
        <f>E56+F56</f>
        <v>3.2000000000000001E-2</v>
      </c>
      <c r="H56" s="81"/>
      <c r="I56" s="34">
        <f t="shared" si="31"/>
        <v>3.2000000000000001E-2</v>
      </c>
      <c r="J56" s="45">
        <f t="shared" si="0"/>
        <v>0</v>
      </c>
      <c r="K56" s="108">
        <f>E56+E57</f>
        <v>0.08</v>
      </c>
      <c r="L56" s="108">
        <f>F56+F57</f>
        <v>0.16045999999999999</v>
      </c>
      <c r="M56" s="108">
        <f>K56+L56</f>
        <v>0.24046000000000001</v>
      </c>
      <c r="N56" s="108">
        <f>H56+H57</f>
        <v>0</v>
      </c>
      <c r="O56" s="108">
        <f>M56-N56</f>
        <v>0.24046000000000001</v>
      </c>
      <c r="P56" s="111">
        <f>N56/M56</f>
        <v>0</v>
      </c>
    </row>
    <row r="57" spans="2:16" s="29" customFormat="1">
      <c r="B57" s="139"/>
      <c r="C57" s="107"/>
      <c r="D57" s="33" t="s">
        <v>1</v>
      </c>
      <c r="E57" s="34">
        <v>4.8000000000000001E-2</v>
      </c>
      <c r="F57" s="34">
        <f>0.16046</f>
        <v>0.16045999999999999</v>
      </c>
      <c r="G57" s="34">
        <f>E57+F57+I56</f>
        <v>0.24045999999999998</v>
      </c>
      <c r="H57" s="81"/>
      <c r="I57" s="34">
        <f t="shared" si="31"/>
        <v>0.24045999999999998</v>
      </c>
      <c r="J57" s="45">
        <f>H57/G57</f>
        <v>0</v>
      </c>
      <c r="K57" s="108"/>
      <c r="L57" s="108"/>
      <c r="M57" s="108"/>
      <c r="N57" s="108"/>
      <c r="O57" s="108"/>
      <c r="P57" s="111"/>
    </row>
    <row r="58" spans="2:16" s="29" customFormat="1">
      <c r="B58" s="139"/>
      <c r="C58" s="106" t="s">
        <v>118</v>
      </c>
      <c r="D58" s="33" t="s">
        <v>0</v>
      </c>
      <c r="E58" s="34">
        <v>3.2000000000000001E-2</v>
      </c>
      <c r="F58" s="34"/>
      <c r="G58" s="34">
        <f>E58+F58</f>
        <v>3.2000000000000001E-2</v>
      </c>
      <c r="H58" s="81"/>
      <c r="I58" s="34">
        <f>G58-H58</f>
        <v>3.2000000000000001E-2</v>
      </c>
      <c r="J58" s="45">
        <f>H58/G58</f>
        <v>0</v>
      </c>
      <c r="K58" s="108">
        <f>E58+E59</f>
        <v>0.08</v>
      </c>
      <c r="L58" s="108">
        <f>F58+F59</f>
        <v>0</v>
      </c>
      <c r="M58" s="108">
        <f>K58+L58</f>
        <v>0.08</v>
      </c>
      <c r="N58" s="108">
        <f>H58+H59</f>
        <v>0</v>
      </c>
      <c r="O58" s="108">
        <f>M58-N58</f>
        <v>0.08</v>
      </c>
      <c r="P58" s="111">
        <f>N58/M58</f>
        <v>0</v>
      </c>
    </row>
    <row r="59" spans="2:16" s="29" customFormat="1">
      <c r="B59" s="139"/>
      <c r="C59" s="107"/>
      <c r="D59" s="33" t="s">
        <v>1</v>
      </c>
      <c r="E59" s="34">
        <v>4.8000000000000001E-2</v>
      </c>
      <c r="F59" s="34"/>
      <c r="G59" s="34">
        <f>E59+F59+I58</f>
        <v>0.08</v>
      </c>
      <c r="H59" s="81"/>
      <c r="I59" s="34">
        <f>G59-H59</f>
        <v>0.08</v>
      </c>
      <c r="J59" s="45">
        <f>H59/G59</f>
        <v>0</v>
      </c>
      <c r="K59" s="108"/>
      <c r="L59" s="108"/>
      <c r="M59" s="108"/>
      <c r="N59" s="108"/>
      <c r="O59" s="108"/>
      <c r="P59" s="111"/>
    </row>
    <row r="60" spans="2:16" s="29" customFormat="1">
      <c r="B60" s="139"/>
      <c r="C60" s="106" t="s">
        <v>125</v>
      </c>
      <c r="D60" s="33" t="s">
        <v>0</v>
      </c>
      <c r="E60" s="34">
        <v>0.873</v>
      </c>
      <c r="F60" s="34">
        <f>-0.234</f>
        <v>-0.23400000000000001</v>
      </c>
      <c r="G60" s="34">
        <f>E60+F60</f>
        <v>0.63900000000000001</v>
      </c>
      <c r="H60" s="81"/>
      <c r="I60" s="34">
        <f t="shared" ref="I60:I61" si="32">G60-H60</f>
        <v>0.63900000000000001</v>
      </c>
      <c r="J60" s="45">
        <f t="shared" ref="J60:J61" si="33">H60/G60</f>
        <v>0</v>
      </c>
      <c r="K60" s="108">
        <f>E60+E61</f>
        <v>2.1819999999999999</v>
      </c>
      <c r="L60" s="108">
        <f>F60+F61</f>
        <v>-1.798</v>
      </c>
      <c r="M60" s="108">
        <f>K60+L60</f>
        <v>0.3839999999999999</v>
      </c>
      <c r="N60" s="108">
        <f>H60+H61</f>
        <v>8.5000000000000006E-2</v>
      </c>
      <c r="O60" s="108">
        <f>M60-N60</f>
        <v>0.29899999999999988</v>
      </c>
      <c r="P60" s="111">
        <f>N60/M60</f>
        <v>0.22135416666666674</v>
      </c>
    </row>
    <row r="61" spans="2:16" s="29" customFormat="1">
      <c r="B61" s="139"/>
      <c r="C61" s="107"/>
      <c r="D61" s="33" t="s">
        <v>1</v>
      </c>
      <c r="E61" s="34">
        <v>1.3089999999999999</v>
      </c>
      <c r="F61" s="34">
        <f>-1.564</f>
        <v>-1.5640000000000001</v>
      </c>
      <c r="G61" s="34">
        <f>E61+F61+I60</f>
        <v>0.3839999999999999</v>
      </c>
      <c r="H61" s="87">
        <v>8.5000000000000006E-2</v>
      </c>
      <c r="I61" s="34">
        <f t="shared" si="32"/>
        <v>0.29899999999999988</v>
      </c>
      <c r="J61" s="45">
        <f t="shared" si="33"/>
        <v>0.22135416666666674</v>
      </c>
      <c r="K61" s="108"/>
      <c r="L61" s="108"/>
      <c r="M61" s="108"/>
      <c r="N61" s="108"/>
      <c r="O61" s="108"/>
      <c r="P61" s="111"/>
    </row>
    <row r="62" spans="2:16" s="29" customFormat="1">
      <c r="B62" s="139"/>
      <c r="C62" s="106" t="s">
        <v>130</v>
      </c>
      <c r="D62" s="33" t="s">
        <v>0</v>
      </c>
      <c r="E62" s="34">
        <v>0</v>
      </c>
      <c r="F62" s="34">
        <v>0.23400000000000001</v>
      </c>
      <c r="G62" s="34">
        <f>E62+F62</f>
        <v>0.23400000000000001</v>
      </c>
      <c r="H62" s="81"/>
      <c r="I62" s="34">
        <f t="shared" ref="I62:I63" si="34">G62-H62</f>
        <v>0.23400000000000001</v>
      </c>
      <c r="J62" s="45">
        <f t="shared" ref="J62:J63" si="35">H62/G62</f>
        <v>0</v>
      </c>
      <c r="K62" s="108">
        <f>E62+E63</f>
        <v>0</v>
      </c>
      <c r="L62" s="108">
        <f>F62+F63</f>
        <v>0.23400000000000001</v>
      </c>
      <c r="M62" s="108">
        <f>K62+L62</f>
        <v>0.23400000000000001</v>
      </c>
      <c r="N62" s="108">
        <f>H62+H63</f>
        <v>0</v>
      </c>
      <c r="O62" s="108">
        <f>M62-N62</f>
        <v>0.23400000000000001</v>
      </c>
      <c r="P62" s="111">
        <f>N62/M62</f>
        <v>0</v>
      </c>
    </row>
    <row r="63" spans="2:16" s="29" customFormat="1">
      <c r="B63" s="139"/>
      <c r="C63" s="107"/>
      <c r="D63" s="33" t="s">
        <v>1</v>
      </c>
      <c r="E63" s="34">
        <v>0</v>
      </c>
      <c r="F63" s="34"/>
      <c r="G63" s="34">
        <f>E63+F63+I62</f>
        <v>0.23400000000000001</v>
      </c>
      <c r="H63" s="81"/>
      <c r="I63" s="34">
        <f t="shared" si="34"/>
        <v>0.23400000000000001</v>
      </c>
      <c r="J63" s="45">
        <f t="shared" si="35"/>
        <v>0</v>
      </c>
      <c r="K63" s="108"/>
      <c r="L63" s="108"/>
      <c r="M63" s="108"/>
      <c r="N63" s="108"/>
      <c r="O63" s="108"/>
      <c r="P63" s="111"/>
    </row>
    <row r="64" spans="2:16" s="29" customFormat="1">
      <c r="B64" s="139"/>
      <c r="C64" s="106" t="s">
        <v>131</v>
      </c>
      <c r="D64" s="33" t="s">
        <v>0</v>
      </c>
      <c r="E64" s="34">
        <v>0</v>
      </c>
      <c r="F64" s="34">
        <f>0.234-0.234</f>
        <v>0</v>
      </c>
      <c r="G64" s="34">
        <f>E64+F64</f>
        <v>0</v>
      </c>
      <c r="H64" s="81"/>
      <c r="I64" s="34">
        <f t="shared" ref="I64:I65" si="36">G64-H64</f>
        <v>0</v>
      </c>
      <c r="J64" s="45" t="e">
        <f t="shared" ref="J64:J65" si="37">H64/G64</f>
        <v>#DIV/0!</v>
      </c>
      <c r="K64" s="108">
        <f>E64+E65</f>
        <v>0</v>
      </c>
      <c r="L64" s="108">
        <f>F64+F65</f>
        <v>0</v>
      </c>
      <c r="M64" s="108">
        <f>K64+L64</f>
        <v>0</v>
      </c>
      <c r="N64" s="108">
        <f>H64+H65</f>
        <v>0</v>
      </c>
      <c r="O64" s="108">
        <f>M64-N64</f>
        <v>0</v>
      </c>
      <c r="P64" s="111">
        <v>0</v>
      </c>
    </row>
    <row r="65" spans="2:16" s="29" customFormat="1">
      <c r="B65" s="139"/>
      <c r="C65" s="107"/>
      <c r="D65" s="33" t="s">
        <v>1</v>
      </c>
      <c r="E65" s="34">
        <v>0</v>
      </c>
      <c r="F65" s="34"/>
      <c r="G65" s="34">
        <f>E65+F65+I64</f>
        <v>0</v>
      </c>
      <c r="H65" s="81"/>
      <c r="I65" s="34">
        <f t="shared" si="36"/>
        <v>0</v>
      </c>
      <c r="J65" s="45" t="e">
        <f t="shared" si="37"/>
        <v>#DIV/0!</v>
      </c>
      <c r="K65" s="108"/>
      <c r="L65" s="108"/>
      <c r="M65" s="108"/>
      <c r="N65" s="108"/>
      <c r="O65" s="108"/>
      <c r="P65" s="111"/>
    </row>
    <row r="66" spans="2:16" s="29" customFormat="1">
      <c r="B66" s="139"/>
      <c r="C66" s="106" t="s">
        <v>132</v>
      </c>
      <c r="D66" s="33" t="s">
        <v>0</v>
      </c>
      <c r="E66" s="34">
        <v>0</v>
      </c>
      <c r="F66" s="34">
        <f>1.564</f>
        <v>1.5640000000000001</v>
      </c>
      <c r="G66" s="34">
        <f>E66+F66</f>
        <v>1.5640000000000001</v>
      </c>
      <c r="H66" s="81"/>
      <c r="I66" s="34">
        <f t="shared" ref="I66:I67" si="38">G66-H66</f>
        <v>1.5640000000000001</v>
      </c>
      <c r="J66" s="45">
        <f t="shared" ref="J66:J67" si="39">H66/G66</f>
        <v>0</v>
      </c>
      <c r="K66" s="108">
        <f>E66+E67</f>
        <v>0</v>
      </c>
      <c r="L66" s="108">
        <f>F66+F67</f>
        <v>1.5640000000000001</v>
      </c>
      <c r="M66" s="108">
        <f>K66+L66</f>
        <v>1.5640000000000001</v>
      </c>
      <c r="N66" s="108">
        <f>H66+H67</f>
        <v>0</v>
      </c>
      <c r="O66" s="108">
        <f>M66-N66</f>
        <v>1.5640000000000001</v>
      </c>
      <c r="P66" s="111">
        <f>N66/M66</f>
        <v>0</v>
      </c>
    </row>
    <row r="67" spans="2:16" s="29" customFormat="1">
      <c r="B67" s="139"/>
      <c r="C67" s="107"/>
      <c r="D67" s="33" t="s">
        <v>1</v>
      </c>
      <c r="E67" s="34">
        <v>0</v>
      </c>
      <c r="F67" s="34"/>
      <c r="G67" s="34">
        <f>E67+F67+I66</f>
        <v>1.5640000000000001</v>
      </c>
      <c r="H67" s="81"/>
      <c r="I67" s="34">
        <f t="shared" si="38"/>
        <v>1.5640000000000001</v>
      </c>
      <c r="J67" s="45">
        <f t="shared" si="39"/>
        <v>0</v>
      </c>
      <c r="K67" s="108"/>
      <c r="L67" s="108"/>
      <c r="M67" s="108"/>
      <c r="N67" s="108"/>
      <c r="O67" s="108"/>
      <c r="P67" s="111"/>
    </row>
    <row r="68" spans="2:16" s="29" customFormat="1">
      <c r="B68" s="139"/>
      <c r="C68" s="106" t="s">
        <v>133</v>
      </c>
      <c r="D68" s="82" t="s">
        <v>0</v>
      </c>
      <c r="E68" s="83">
        <v>0</v>
      </c>
      <c r="F68" s="83">
        <f>0.161</f>
        <v>0.161</v>
      </c>
      <c r="G68" s="83">
        <f>E68+F68</f>
        <v>0.161</v>
      </c>
      <c r="H68" s="83"/>
      <c r="I68" s="83">
        <f t="shared" ref="I68:I69" si="40">G68-H68</f>
        <v>0.161</v>
      </c>
      <c r="J68" s="84">
        <f t="shared" ref="J68:J69" si="41">H68/G68</f>
        <v>0</v>
      </c>
      <c r="K68" s="108">
        <f>E68+E69</f>
        <v>0</v>
      </c>
      <c r="L68" s="108">
        <f>F68+F69</f>
        <v>0.161</v>
      </c>
      <c r="M68" s="108">
        <f>K68+L68</f>
        <v>0.161</v>
      </c>
      <c r="N68" s="108">
        <f>H68+H69</f>
        <v>0</v>
      </c>
      <c r="O68" s="108">
        <f>M68-N68</f>
        <v>0.161</v>
      </c>
      <c r="P68" s="111">
        <f>N68/M68</f>
        <v>0</v>
      </c>
    </row>
    <row r="69" spans="2:16" s="29" customFormat="1">
      <c r="B69" s="139"/>
      <c r="C69" s="107"/>
      <c r="D69" s="82" t="s">
        <v>1</v>
      </c>
      <c r="E69" s="83">
        <v>0</v>
      </c>
      <c r="F69" s="83"/>
      <c r="G69" s="83">
        <f>E69+F69+I68</f>
        <v>0.161</v>
      </c>
      <c r="H69" s="83"/>
      <c r="I69" s="83">
        <f t="shared" si="40"/>
        <v>0.161</v>
      </c>
      <c r="J69" s="84">
        <f t="shared" si="41"/>
        <v>0</v>
      </c>
      <c r="K69" s="108"/>
      <c r="L69" s="108"/>
      <c r="M69" s="108"/>
      <c r="N69" s="108"/>
      <c r="O69" s="108"/>
      <c r="P69" s="111"/>
    </row>
    <row r="70" spans="2:16" s="29" customFormat="1">
      <c r="B70" s="139"/>
      <c r="C70" s="114" t="s">
        <v>96</v>
      </c>
      <c r="D70" s="43" t="s">
        <v>0</v>
      </c>
      <c r="E70" s="44">
        <f>E8+E10+E12+E14+E16+E18+E20+E22+E24+E26+E28+E30+E32+E34+E36+E38+E40+E42+E44+E46+E48+E50+E52+E54+E56+E58+E60+E62+E64+E66+E68</f>
        <v>3209.9970000000012</v>
      </c>
      <c r="F70" s="44">
        <f>F8+F10+F12+F14+F16+F18+F20+F22+F24+F26+F28+F30+F32+F34+F36+F38+F40+F42+F44+F46+F48+F50+F52+F54+F56+F58+F60+F62+F64+F66+F68</f>
        <v>-3418.9260000000008</v>
      </c>
      <c r="G70" s="34">
        <f>E70+F70</f>
        <v>-208.92899999999963</v>
      </c>
      <c r="H70" s="44">
        <f>H8+H10+H12+H14+H16+H18+H20+H22+H24+H26+H28+H30+H32+H34+H36+H38+H40+H42+H44+H46+H48+H50+H52+H54+H56+H58+H60</f>
        <v>887.995</v>
      </c>
      <c r="I70" s="44">
        <f t="shared" si="31"/>
        <v>-1096.9239999999995</v>
      </c>
      <c r="J70" s="46">
        <f t="shared" si="0"/>
        <v>-4.250223760224773</v>
      </c>
      <c r="K70" s="109">
        <f>E70+E71</f>
        <v>8025.996000000001</v>
      </c>
      <c r="L70" s="109">
        <f>F70+F71</f>
        <v>-5733.2002600000014</v>
      </c>
      <c r="M70" s="109">
        <f>K70+L70</f>
        <v>2292.7957399999996</v>
      </c>
      <c r="N70" s="109">
        <f>H70+H71</f>
        <v>1916.703</v>
      </c>
      <c r="O70" s="109">
        <f>M70-N70</f>
        <v>376.09273999999959</v>
      </c>
      <c r="P70" s="112">
        <f>N70/M70</f>
        <v>0.83596762090983312</v>
      </c>
    </row>
    <row r="71" spans="2:16" s="29" customFormat="1">
      <c r="B71" s="140"/>
      <c r="C71" s="115"/>
      <c r="D71" s="43" t="s">
        <v>1</v>
      </c>
      <c r="E71" s="44">
        <f>E9+E11+E13+E15+E17+E19+E21+E23+E25+E27+E29+E31+E33+E35+E37+E39+E41+E43+E45+E47+E49+E51+E53+E55+E57+E59+E61+E63+E65+E67+E69</f>
        <v>4815.9989999999998</v>
      </c>
      <c r="F71" s="44">
        <f>F9+F11+F13+F15+F17+F19+F21+F23+F25+F27+F29+F31+F33+F35+F37+F39+F41+F43+F45+F47+F49+F51+F53+F55+F57+F59+F61+F63+F65+F67</f>
        <v>-2314.2742600000006</v>
      </c>
      <c r="G71" s="34">
        <f>E71+I70+F71</f>
        <v>1404.8007399999997</v>
      </c>
      <c r="H71" s="44">
        <f>H9+H11+H13+H15+H17+H19+H21+H23+H25+H27+H29+H31+H33+H35+H37+H39+H41+H43+H45+H47+H49+H51+H53+H55+H57+H59+H61</f>
        <v>1028.7080000000001</v>
      </c>
      <c r="I71" s="44">
        <f t="shared" si="31"/>
        <v>376.09273999999959</v>
      </c>
      <c r="J71" s="46">
        <f t="shared" si="0"/>
        <v>0.73228036596848622</v>
      </c>
      <c r="K71" s="110"/>
      <c r="L71" s="110"/>
      <c r="M71" s="110"/>
      <c r="N71" s="110"/>
      <c r="O71" s="110"/>
      <c r="P71" s="113"/>
    </row>
    <row r="72" spans="2:16" s="29" customFormat="1">
      <c r="B72" s="36"/>
      <c r="C72" s="32"/>
      <c r="E72" s="37"/>
      <c r="F72" s="37"/>
      <c r="I72" s="37"/>
      <c r="J72" s="38"/>
      <c r="K72" s="37"/>
      <c r="O72" s="39"/>
      <c r="P72" s="38"/>
    </row>
    <row r="73" spans="2:16" s="29" customFormat="1">
      <c r="B73" s="36"/>
      <c r="C73" s="32"/>
      <c r="J73" s="38"/>
      <c r="O73" s="40"/>
      <c r="P73" s="38"/>
    </row>
    <row r="74" spans="2:16" s="29" customFormat="1">
      <c r="C74" s="32"/>
      <c r="F74" s="41"/>
      <c r="H74" s="37"/>
      <c r="O74" s="40"/>
      <c r="P74" s="42"/>
    </row>
    <row r="75" spans="2:16" s="29" customFormat="1" ht="15" customHeight="1">
      <c r="B75" s="124" t="s">
        <v>106</v>
      </c>
      <c r="C75" s="100" t="s">
        <v>38</v>
      </c>
      <c r="D75" s="33" t="s">
        <v>0</v>
      </c>
      <c r="E75" s="34">
        <v>0.81</v>
      </c>
      <c r="F75" s="34"/>
      <c r="G75" s="34">
        <f>E75+F75</f>
        <v>0.81</v>
      </c>
      <c r="H75" s="65"/>
      <c r="I75" s="34">
        <f>G75-H75</f>
        <v>0.81</v>
      </c>
      <c r="J75" s="45">
        <f t="shared" si="0"/>
        <v>0</v>
      </c>
      <c r="K75" s="108">
        <f>E75+E76</f>
        <v>2.0250000000000004</v>
      </c>
      <c r="L75" s="108">
        <f>F75+F76</f>
        <v>-2.0249999999999999</v>
      </c>
      <c r="M75" s="108">
        <f>K75+L75</f>
        <v>0</v>
      </c>
      <c r="N75" s="108">
        <f>H75+H76</f>
        <v>0</v>
      </c>
      <c r="O75" s="108">
        <f>M75-N75</f>
        <v>0</v>
      </c>
      <c r="P75" s="111">
        <v>0</v>
      </c>
    </row>
    <row r="76" spans="2:16" s="29" customFormat="1">
      <c r="B76" s="125"/>
      <c r="C76" s="100"/>
      <c r="D76" s="33" t="s">
        <v>1</v>
      </c>
      <c r="E76" s="34">
        <v>1.2150000000000001</v>
      </c>
      <c r="F76" s="34">
        <f>-2.025</f>
        <v>-2.0249999999999999</v>
      </c>
      <c r="G76" s="34">
        <f>E76+F76+I75</f>
        <v>0</v>
      </c>
      <c r="H76" s="85"/>
      <c r="I76" s="34">
        <f t="shared" ref="I76:I84" si="42">G76-H76</f>
        <v>0</v>
      </c>
      <c r="J76" s="45">
        <v>0</v>
      </c>
      <c r="K76" s="108"/>
      <c r="L76" s="108"/>
      <c r="M76" s="108"/>
      <c r="N76" s="108"/>
      <c r="O76" s="108"/>
      <c r="P76" s="111"/>
    </row>
    <row r="77" spans="2:16" s="29" customFormat="1">
      <c r="B77" s="125"/>
      <c r="C77" s="100" t="s">
        <v>74</v>
      </c>
      <c r="D77" s="33" t="s">
        <v>0</v>
      </c>
      <c r="E77" s="34">
        <v>862.19500000000005</v>
      </c>
      <c r="F77" s="34">
        <f>3420.704</f>
        <v>3420.7040000000002</v>
      </c>
      <c r="G77" s="34">
        <f>E77+F77</f>
        <v>4282.8990000000003</v>
      </c>
      <c r="H77" s="88">
        <v>58.804000000000002</v>
      </c>
      <c r="I77" s="34">
        <f t="shared" si="42"/>
        <v>4224.0950000000003</v>
      </c>
      <c r="J77" s="45">
        <f t="shared" si="0"/>
        <v>1.3729952539156305E-2</v>
      </c>
      <c r="K77" s="108">
        <f>E77+E78</f>
        <v>2155.8910000000001</v>
      </c>
      <c r="L77" s="108">
        <f>F77+F78</f>
        <v>3420.7040000000002</v>
      </c>
      <c r="M77" s="108">
        <f>K77+L77</f>
        <v>5576.5950000000003</v>
      </c>
      <c r="N77" s="108">
        <f>H77+H78</f>
        <v>4488.2110000000002</v>
      </c>
      <c r="O77" s="108">
        <f>M77-N77</f>
        <v>1088.384</v>
      </c>
      <c r="P77" s="111">
        <f>N77/M77</f>
        <v>0.8048300082756592</v>
      </c>
    </row>
    <row r="78" spans="2:16" s="29" customFormat="1">
      <c r="B78" s="125"/>
      <c r="C78" s="100"/>
      <c r="D78" s="33" t="s">
        <v>1</v>
      </c>
      <c r="E78" s="34">
        <v>1293.6959999999999</v>
      </c>
      <c r="F78" s="34"/>
      <c r="G78" s="34">
        <f>E78+F78+I77</f>
        <v>5517.7910000000002</v>
      </c>
      <c r="H78" s="88">
        <v>4429.4070000000002</v>
      </c>
      <c r="I78" s="34">
        <f>G78-H78</f>
        <v>1088.384</v>
      </c>
      <c r="J78" s="45">
        <f t="shared" si="0"/>
        <v>0.80275004979347719</v>
      </c>
      <c r="K78" s="108"/>
      <c r="L78" s="108"/>
      <c r="M78" s="108"/>
      <c r="N78" s="108"/>
      <c r="O78" s="108"/>
      <c r="P78" s="111"/>
    </row>
    <row r="79" spans="2:16" s="29" customFormat="1">
      <c r="B79" s="125"/>
      <c r="C79" s="119" t="s">
        <v>75</v>
      </c>
      <c r="D79" s="33" t="s">
        <v>0</v>
      </c>
      <c r="E79" s="34">
        <v>495.44499999999999</v>
      </c>
      <c r="F79" s="34"/>
      <c r="G79" s="34">
        <f>E79+F79</f>
        <v>495.44499999999999</v>
      </c>
      <c r="H79" s="88">
        <v>50.201999999999998</v>
      </c>
      <c r="I79" s="34">
        <f>G79-H79</f>
        <v>445.24299999999999</v>
      </c>
      <c r="J79" s="45">
        <f t="shared" si="0"/>
        <v>0.10132708978796839</v>
      </c>
      <c r="K79" s="117">
        <f>E79+E80</f>
        <v>1238.8440000000001</v>
      </c>
      <c r="L79" s="117">
        <f>F79+F80</f>
        <v>764.71144000000015</v>
      </c>
      <c r="M79" s="117">
        <f>K79+L79</f>
        <v>2003.5554400000001</v>
      </c>
      <c r="N79" s="117">
        <f>H79+H80</f>
        <v>1915.079</v>
      </c>
      <c r="O79" s="117">
        <f>M79-N79</f>
        <v>88.476440000000139</v>
      </c>
      <c r="P79" s="118">
        <f>N79/M79</f>
        <v>0.95584028361101891</v>
      </c>
    </row>
    <row r="80" spans="2:16" s="29" customFormat="1">
      <c r="B80" s="125"/>
      <c r="C80" s="119"/>
      <c r="D80" s="33" t="s">
        <v>1</v>
      </c>
      <c r="E80" s="34">
        <v>743.399</v>
      </c>
      <c r="F80" s="34">
        <f>1004.719-17.925-158.875-23.231+160.03844-170.424-29.591</f>
        <v>764.71144000000015</v>
      </c>
      <c r="G80" s="34">
        <f>E80+F80+I79</f>
        <v>1953.3534400000001</v>
      </c>
      <c r="H80" s="88">
        <f>1861.907+2.97</f>
        <v>1864.877</v>
      </c>
      <c r="I80" s="34">
        <f>G80-H80</f>
        <v>88.476440000000139</v>
      </c>
      <c r="J80" s="45">
        <f t="shared" si="0"/>
        <v>0.9547053604390201</v>
      </c>
      <c r="K80" s="117"/>
      <c r="L80" s="117"/>
      <c r="M80" s="117"/>
      <c r="N80" s="117"/>
      <c r="O80" s="117"/>
      <c r="P80" s="118"/>
    </row>
    <row r="81" spans="2:16" s="29" customFormat="1">
      <c r="B81" s="125"/>
      <c r="C81" s="119" t="s">
        <v>93</v>
      </c>
      <c r="D81" s="33" t="s">
        <v>0</v>
      </c>
      <c r="E81" s="34">
        <v>284.649</v>
      </c>
      <c r="F81" s="34"/>
      <c r="G81" s="34">
        <f>E81+F81</f>
        <v>284.649</v>
      </c>
      <c r="H81" s="88">
        <f>115.567-40.131</f>
        <v>75.435999999999993</v>
      </c>
      <c r="I81" s="34">
        <f t="shared" si="42"/>
        <v>209.21300000000002</v>
      </c>
      <c r="J81" s="45">
        <f t="shared" si="0"/>
        <v>0.26501410509083112</v>
      </c>
      <c r="K81" s="108">
        <f>E81+E82</f>
        <v>711.755</v>
      </c>
      <c r="L81" s="108">
        <f>F81+F82</f>
        <v>400.04600000000005</v>
      </c>
      <c r="M81" s="108">
        <f>K81+L81</f>
        <v>1111.8009999999999</v>
      </c>
      <c r="N81" s="108">
        <f>H81+H82</f>
        <v>969.14099999999996</v>
      </c>
      <c r="O81" s="108">
        <f>M81-N81</f>
        <v>142.65999999999997</v>
      </c>
      <c r="P81" s="111">
        <f>N81/M81</f>
        <v>0.87168567036726896</v>
      </c>
    </row>
    <row r="82" spans="2:16" s="29" customFormat="1">
      <c r="B82" s="125"/>
      <c r="C82" s="119"/>
      <c r="D82" s="33" t="s">
        <v>1</v>
      </c>
      <c r="E82" s="34">
        <v>427.10599999999999</v>
      </c>
      <c r="F82" s="34">
        <f>17.925+158.875+23.231+170.424+29.591</f>
        <v>400.04600000000005</v>
      </c>
      <c r="G82" s="34">
        <f>E82+F82+I81</f>
        <v>1036.365</v>
      </c>
      <c r="H82" s="88">
        <f>893.461+0.098+0.146</f>
        <v>893.70499999999993</v>
      </c>
      <c r="I82" s="34">
        <f t="shared" si="42"/>
        <v>142.66000000000008</v>
      </c>
      <c r="J82" s="45">
        <f t="shared" si="0"/>
        <v>0.86234579515904142</v>
      </c>
      <c r="K82" s="108"/>
      <c r="L82" s="108"/>
      <c r="M82" s="108"/>
      <c r="N82" s="108"/>
      <c r="O82" s="108"/>
      <c r="P82" s="111"/>
    </row>
    <row r="83" spans="2:16" s="29" customFormat="1" ht="15" customHeight="1">
      <c r="B83" s="125"/>
      <c r="C83" s="100" t="s">
        <v>76</v>
      </c>
      <c r="D83" s="33" t="s">
        <v>0</v>
      </c>
      <c r="E83" s="34">
        <v>2.1000000000000001E-2</v>
      </c>
      <c r="F83" s="34">
        <f>-0.053</f>
        <v>-5.2999999999999999E-2</v>
      </c>
      <c r="G83" s="34">
        <f>E83+F83</f>
        <v>-3.2000000000000001E-2</v>
      </c>
      <c r="H83" s="85"/>
      <c r="I83" s="34">
        <f t="shared" si="42"/>
        <v>-3.2000000000000001E-2</v>
      </c>
      <c r="J83" s="45">
        <f t="shared" si="0"/>
        <v>0</v>
      </c>
      <c r="K83" s="108">
        <f>E83+E84</f>
        <v>5.3000000000000005E-2</v>
      </c>
      <c r="L83" s="108">
        <f>F83+F84</f>
        <v>-5.2999999999999999E-2</v>
      </c>
      <c r="M83" s="108">
        <f>K83+L83</f>
        <v>0</v>
      </c>
      <c r="N83" s="108">
        <f>H83+H84</f>
        <v>0</v>
      </c>
      <c r="O83" s="108">
        <f>M83-N83</f>
        <v>0</v>
      </c>
      <c r="P83" s="111">
        <v>0</v>
      </c>
    </row>
    <row r="84" spans="2:16" s="29" customFormat="1">
      <c r="B84" s="125"/>
      <c r="C84" s="100"/>
      <c r="D84" s="33" t="s">
        <v>1</v>
      </c>
      <c r="E84" s="34">
        <v>3.2000000000000001E-2</v>
      </c>
      <c r="F84" s="34"/>
      <c r="G84" s="34">
        <f>E84+F84+I83</f>
        <v>0</v>
      </c>
      <c r="H84" s="85"/>
      <c r="I84" s="34">
        <f t="shared" si="42"/>
        <v>0</v>
      </c>
      <c r="J84" s="45">
        <v>0</v>
      </c>
      <c r="K84" s="108"/>
      <c r="L84" s="108"/>
      <c r="M84" s="108"/>
      <c r="N84" s="108"/>
      <c r="O84" s="108"/>
      <c r="P84" s="111"/>
    </row>
    <row r="85" spans="2:16" s="29" customFormat="1" ht="15" customHeight="1">
      <c r="B85" s="125"/>
      <c r="C85" s="100" t="s">
        <v>94</v>
      </c>
      <c r="D85" s="33" t="s">
        <v>0</v>
      </c>
      <c r="E85" s="34">
        <v>496.87</v>
      </c>
      <c r="F85" s="34"/>
      <c r="G85" s="34">
        <f>E85+F85</f>
        <v>496.87</v>
      </c>
      <c r="H85" s="88">
        <v>14.131</v>
      </c>
      <c r="I85" s="34">
        <f>G85-H85</f>
        <v>482.73900000000003</v>
      </c>
      <c r="J85" s="45">
        <f t="shared" si="0"/>
        <v>2.8440034616700544E-2</v>
      </c>
      <c r="K85" s="117">
        <f>E85+E86</f>
        <v>1242.4070000000002</v>
      </c>
      <c r="L85" s="117">
        <f>F85+F86</f>
        <v>1149.81682</v>
      </c>
      <c r="M85" s="117">
        <f>K85+L85</f>
        <v>2392.2238200000002</v>
      </c>
      <c r="N85" s="117">
        <f>H85+H86</f>
        <v>2298.8679999999999</v>
      </c>
      <c r="O85" s="117">
        <f>M85-N85</f>
        <v>93.355820000000222</v>
      </c>
      <c r="P85" s="118">
        <f>N85/M85</f>
        <v>0.96097529870762666</v>
      </c>
    </row>
    <row r="86" spans="2:16" s="29" customFormat="1">
      <c r="B86" s="125"/>
      <c r="C86" s="100"/>
      <c r="D86" s="33" t="s">
        <v>1</v>
      </c>
      <c r="E86" s="34">
        <v>745.53700000000003</v>
      </c>
      <c r="F86" s="34">
        <f>914.722+140.0537+70+25.04112</f>
        <v>1149.81682</v>
      </c>
      <c r="G86" s="34">
        <f>E86+F86+I85</f>
        <v>2378.0928199999998</v>
      </c>
      <c r="H86" s="88">
        <f>2284.244+0.493</f>
        <v>2284.7370000000001</v>
      </c>
      <c r="I86" s="34">
        <f>G86-H86</f>
        <v>93.355819999999767</v>
      </c>
      <c r="J86" s="45">
        <f>H86/G86</f>
        <v>0.96074340782038958</v>
      </c>
      <c r="K86" s="117"/>
      <c r="L86" s="117"/>
      <c r="M86" s="117"/>
      <c r="N86" s="117"/>
      <c r="O86" s="117"/>
      <c r="P86" s="118"/>
    </row>
    <row r="87" spans="2:16" s="29" customFormat="1" ht="15" customHeight="1">
      <c r="B87" s="125"/>
      <c r="C87" s="114" t="s">
        <v>96</v>
      </c>
      <c r="D87" s="43" t="s">
        <v>0</v>
      </c>
      <c r="E87" s="44">
        <f>E75+E77+E79+E81+E83+E85</f>
        <v>2139.9900000000002</v>
      </c>
      <c r="F87" s="44">
        <f>F75+F77+F79+F81+F83+F85</f>
        <v>3420.6510000000003</v>
      </c>
      <c r="G87" s="44">
        <f>E87+F87</f>
        <v>5560.6410000000005</v>
      </c>
      <c r="H87" s="44">
        <f>H75+H77+H79+H81+H83+H85</f>
        <v>198.57300000000001</v>
      </c>
      <c r="I87" s="44">
        <f>G87-H87</f>
        <v>5362.0680000000002</v>
      </c>
      <c r="J87" s="46">
        <f t="shared" si="0"/>
        <v>3.5710451367027649E-2</v>
      </c>
      <c r="K87" s="127">
        <f>E87+E88</f>
        <v>5350.9750000000004</v>
      </c>
      <c r="L87" s="127">
        <f>F87+F88</f>
        <v>5733.2002600000005</v>
      </c>
      <c r="M87" s="127">
        <f>K87+L87</f>
        <v>11084.17526</v>
      </c>
      <c r="N87" s="127">
        <f>H87+H88</f>
        <v>9671.2989999999991</v>
      </c>
      <c r="O87" s="127">
        <f>M87-N87</f>
        <v>1412.8762600000009</v>
      </c>
      <c r="P87" s="130">
        <f>N87/M87</f>
        <v>0.87253212558820537</v>
      </c>
    </row>
    <row r="88" spans="2:16" s="29" customFormat="1">
      <c r="B88" s="126"/>
      <c r="C88" s="115"/>
      <c r="D88" s="43" t="s">
        <v>1</v>
      </c>
      <c r="E88" s="44">
        <f>E76+E78+E80+E82+E84+E86</f>
        <v>3210.9850000000006</v>
      </c>
      <c r="F88" s="44">
        <f>F76+F78+F80+F82+F84+F86</f>
        <v>2312.5492600000002</v>
      </c>
      <c r="G88" s="44">
        <f>E88+I87+F88</f>
        <v>10885.60226</v>
      </c>
      <c r="H88" s="44">
        <f>H76+H78+H80+H82+H84+H86</f>
        <v>9472.7259999999987</v>
      </c>
      <c r="I88" s="44">
        <f>G88-H88</f>
        <v>1412.8762600000009</v>
      </c>
      <c r="J88" s="46">
        <f>H88/G88</f>
        <v>0.87020688187444384</v>
      </c>
      <c r="K88" s="127"/>
      <c r="L88" s="127"/>
      <c r="M88" s="127"/>
      <c r="N88" s="127"/>
      <c r="O88" s="127"/>
      <c r="P88" s="130"/>
    </row>
    <row r="89" spans="2:16">
      <c r="H89" s="37"/>
    </row>
  </sheetData>
  <mergeCells count="277">
    <mergeCell ref="O60:O61"/>
    <mergeCell ref="P60:P61"/>
    <mergeCell ref="O68:O69"/>
    <mergeCell ref="P68:P69"/>
    <mergeCell ref="O14:O15"/>
    <mergeCell ref="P14:P15"/>
    <mergeCell ref="K16:K17"/>
    <mergeCell ref="L16:L17"/>
    <mergeCell ref="M16:M17"/>
    <mergeCell ref="N16:N17"/>
    <mergeCell ref="O16:O17"/>
    <mergeCell ref="P16:P17"/>
    <mergeCell ref="K18:K19"/>
    <mergeCell ref="L18:L19"/>
    <mergeCell ref="M18:M19"/>
    <mergeCell ref="N18:N19"/>
    <mergeCell ref="O18:O19"/>
    <mergeCell ref="P18:P19"/>
    <mergeCell ref="O20:O21"/>
    <mergeCell ref="P32:P33"/>
    <mergeCell ref="P30:P31"/>
    <mergeCell ref="P22:P23"/>
    <mergeCell ref="P28:P29"/>
    <mergeCell ref="P48:P49"/>
    <mergeCell ref="C58:C59"/>
    <mergeCell ref="C54:C55"/>
    <mergeCell ref="B3:P3"/>
    <mergeCell ref="B4:P4"/>
    <mergeCell ref="B8:B71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8:P39"/>
    <mergeCell ref="P8:P9"/>
    <mergeCell ref="C24:C25"/>
    <mergeCell ref="K24:K25"/>
    <mergeCell ref="L24:L25"/>
    <mergeCell ref="P20:P21"/>
    <mergeCell ref="K60:K61"/>
    <mergeCell ref="L60:L61"/>
    <mergeCell ref="M60:M61"/>
    <mergeCell ref="N60:N61"/>
    <mergeCell ref="K32:K33"/>
    <mergeCell ref="L32:L33"/>
    <mergeCell ref="M32:M33"/>
    <mergeCell ref="N32:N33"/>
    <mergeCell ref="O32:O33"/>
    <mergeCell ref="C36:C37"/>
    <mergeCell ref="K36:K37"/>
    <mergeCell ref="M50:M51"/>
    <mergeCell ref="O48:O49"/>
    <mergeCell ref="C40:C41"/>
    <mergeCell ref="K46:K47"/>
    <mergeCell ref="L46:L47"/>
    <mergeCell ref="M46:M47"/>
    <mergeCell ref="O38:O39"/>
    <mergeCell ref="L40:L41"/>
    <mergeCell ref="M40:M41"/>
    <mergeCell ref="N40:N41"/>
    <mergeCell ref="C42:C43"/>
    <mergeCell ref="K42:K43"/>
    <mergeCell ref="L42:L43"/>
    <mergeCell ref="M42:M43"/>
    <mergeCell ref="N42:N43"/>
    <mergeCell ref="C48:C49"/>
    <mergeCell ref="K48:K49"/>
    <mergeCell ref="C28:C29"/>
    <mergeCell ref="K28:K29"/>
    <mergeCell ref="L28:L29"/>
    <mergeCell ref="M28:M29"/>
    <mergeCell ref="N28:N29"/>
    <mergeCell ref="O28:O29"/>
    <mergeCell ref="C30:C31"/>
    <mergeCell ref="K30:K31"/>
    <mergeCell ref="L30:L31"/>
    <mergeCell ref="M30:M31"/>
    <mergeCell ref="N30:N31"/>
    <mergeCell ref="O30:O31"/>
    <mergeCell ref="P58:P59"/>
    <mergeCell ref="K56:K57"/>
    <mergeCell ref="L56:L57"/>
    <mergeCell ref="M56:M57"/>
    <mergeCell ref="N56:N57"/>
    <mergeCell ref="O56:O57"/>
    <mergeCell ref="P56:P57"/>
    <mergeCell ref="P50:P51"/>
    <mergeCell ref="P52:P53"/>
    <mergeCell ref="O54:O55"/>
    <mergeCell ref="K58:K59"/>
    <mergeCell ref="L58:L59"/>
    <mergeCell ref="M58:M59"/>
    <mergeCell ref="M54:M55"/>
    <mergeCell ref="N58:N59"/>
    <mergeCell ref="L54:L55"/>
    <mergeCell ref="O58:O59"/>
    <mergeCell ref="O52:O53"/>
    <mergeCell ref="N50:N51"/>
    <mergeCell ref="O50:O51"/>
    <mergeCell ref="P10:P11"/>
    <mergeCell ref="P12:P13"/>
    <mergeCell ref="C10:C11"/>
    <mergeCell ref="K10:K11"/>
    <mergeCell ref="L10:L11"/>
    <mergeCell ref="M10:M11"/>
    <mergeCell ref="N10:N11"/>
    <mergeCell ref="C22:C23"/>
    <mergeCell ref="K22:K23"/>
    <mergeCell ref="L22:L23"/>
    <mergeCell ref="M22:M23"/>
    <mergeCell ref="N22:N23"/>
    <mergeCell ref="C14:C15"/>
    <mergeCell ref="C16:C17"/>
    <mergeCell ref="C18:C19"/>
    <mergeCell ref="C20:C21"/>
    <mergeCell ref="K14:K15"/>
    <mergeCell ref="L14:L15"/>
    <mergeCell ref="M14:M15"/>
    <mergeCell ref="N14:N15"/>
    <mergeCell ref="C12:C13"/>
    <mergeCell ref="K12:K13"/>
    <mergeCell ref="L12:L13"/>
    <mergeCell ref="M12:M13"/>
    <mergeCell ref="P87:P88"/>
    <mergeCell ref="C75:C76"/>
    <mergeCell ref="K75:K76"/>
    <mergeCell ref="C85:C86"/>
    <mergeCell ref="K85:K86"/>
    <mergeCell ref="L85:L86"/>
    <mergeCell ref="M85:M86"/>
    <mergeCell ref="N85:N86"/>
    <mergeCell ref="O85:O86"/>
    <mergeCell ref="P85:P86"/>
    <mergeCell ref="L83:L84"/>
    <mergeCell ref="C77:C78"/>
    <mergeCell ref="K77:K78"/>
    <mergeCell ref="C83:C84"/>
    <mergeCell ref="N83:N84"/>
    <mergeCell ref="K83:K84"/>
    <mergeCell ref="C81:C82"/>
    <mergeCell ref="K79:K80"/>
    <mergeCell ref="L79:L80"/>
    <mergeCell ref="M79:M80"/>
    <mergeCell ref="N79:N80"/>
    <mergeCell ref="C8:C9"/>
    <mergeCell ref="K8:K9"/>
    <mergeCell ref="L8:L9"/>
    <mergeCell ref="M8:M9"/>
    <mergeCell ref="N8:N9"/>
    <mergeCell ref="O10:O11"/>
    <mergeCell ref="O8:O9"/>
    <mergeCell ref="B75:B88"/>
    <mergeCell ref="C87:C88"/>
    <mergeCell ref="K87:K88"/>
    <mergeCell ref="L87:L88"/>
    <mergeCell ref="M87:M88"/>
    <mergeCell ref="N87:N88"/>
    <mergeCell ref="O87:O88"/>
    <mergeCell ref="C38:C39"/>
    <mergeCell ref="K38:K39"/>
    <mergeCell ref="L38:L39"/>
    <mergeCell ref="M38:M39"/>
    <mergeCell ref="N38:N39"/>
    <mergeCell ref="C46:C47"/>
    <mergeCell ref="C44:C45"/>
    <mergeCell ref="K44:K45"/>
    <mergeCell ref="L44:L45"/>
    <mergeCell ref="M44:M45"/>
    <mergeCell ref="N12:N13"/>
    <mergeCell ref="O12:O13"/>
    <mergeCell ref="L26:L27"/>
    <mergeCell ref="K20:K21"/>
    <mergeCell ref="L20:L21"/>
    <mergeCell ref="M20:M21"/>
    <mergeCell ref="O26:O27"/>
    <mergeCell ref="K26:K27"/>
    <mergeCell ref="C26:C27"/>
    <mergeCell ref="M26:M27"/>
    <mergeCell ref="M24:M25"/>
    <mergeCell ref="N24:N25"/>
    <mergeCell ref="O24:O25"/>
    <mergeCell ref="N20:N21"/>
    <mergeCell ref="O62:O63"/>
    <mergeCell ref="P24:P25"/>
    <mergeCell ref="O22:O23"/>
    <mergeCell ref="P26:P27"/>
    <mergeCell ref="N54:N55"/>
    <mergeCell ref="K52:K53"/>
    <mergeCell ref="L52:L53"/>
    <mergeCell ref="M52:M53"/>
    <mergeCell ref="N52:N53"/>
    <mergeCell ref="P42:P43"/>
    <mergeCell ref="O42:O43"/>
    <mergeCell ref="L36:L37"/>
    <mergeCell ref="M36:M37"/>
    <mergeCell ref="P44:P45"/>
    <mergeCell ref="P54:P55"/>
    <mergeCell ref="N46:N47"/>
    <mergeCell ref="O46:O47"/>
    <mergeCell ref="P46:P47"/>
    <mergeCell ref="K40:K41"/>
    <mergeCell ref="P40:P41"/>
    <mergeCell ref="P34:P35"/>
    <mergeCell ref="N26:N27"/>
    <mergeCell ref="O40:O41"/>
    <mergeCell ref="K54:K55"/>
    <mergeCell ref="L48:L49"/>
    <mergeCell ref="M48:M49"/>
    <mergeCell ref="N48:N49"/>
    <mergeCell ref="N44:N45"/>
    <mergeCell ref="O44:O45"/>
    <mergeCell ref="C50:C51"/>
    <mergeCell ref="C32:C33"/>
    <mergeCell ref="P83:P84"/>
    <mergeCell ref="O79:O80"/>
    <mergeCell ref="P79:P80"/>
    <mergeCell ref="O81:O82"/>
    <mergeCell ref="P81:P82"/>
    <mergeCell ref="M75:M76"/>
    <mergeCell ref="M83:M84"/>
    <mergeCell ref="O77:O78"/>
    <mergeCell ref="O75:O76"/>
    <mergeCell ref="P77:P78"/>
    <mergeCell ref="P75:P76"/>
    <mergeCell ref="N75:N76"/>
    <mergeCell ref="M77:M78"/>
    <mergeCell ref="N77:N78"/>
    <mergeCell ref="O83:O84"/>
    <mergeCell ref="P62:P63"/>
    <mergeCell ref="C79:C80"/>
    <mergeCell ref="C64:C65"/>
    <mergeCell ref="K64:K65"/>
    <mergeCell ref="C70:C71"/>
    <mergeCell ref="C66:C67"/>
    <mergeCell ref="K66:K67"/>
    <mergeCell ref="L66:L67"/>
    <mergeCell ref="M66:M67"/>
    <mergeCell ref="N66:N67"/>
    <mergeCell ref="O64:O65"/>
    <mergeCell ref="P64:P65"/>
    <mergeCell ref="O66:O67"/>
    <mergeCell ref="P66:P67"/>
    <mergeCell ref="O70:O71"/>
    <mergeCell ref="P70:P71"/>
    <mergeCell ref="L68:L69"/>
    <mergeCell ref="M68:M69"/>
    <mergeCell ref="N68:N69"/>
    <mergeCell ref="K68:K69"/>
    <mergeCell ref="C62:C63"/>
    <mergeCell ref="C52:C53"/>
    <mergeCell ref="K50:K51"/>
    <mergeCell ref="L50:L51"/>
    <mergeCell ref="K81:K82"/>
    <mergeCell ref="L81:L82"/>
    <mergeCell ref="M81:M82"/>
    <mergeCell ref="N81:N82"/>
    <mergeCell ref="L75:L76"/>
    <mergeCell ref="C56:C57"/>
    <mergeCell ref="L77:L78"/>
    <mergeCell ref="K70:K71"/>
    <mergeCell ref="L70:L71"/>
    <mergeCell ref="M70:M71"/>
    <mergeCell ref="N70:N71"/>
    <mergeCell ref="C60:C61"/>
    <mergeCell ref="K62:K63"/>
    <mergeCell ref="L62:L63"/>
    <mergeCell ref="M62:M63"/>
    <mergeCell ref="N62:N63"/>
    <mergeCell ref="L64:L65"/>
    <mergeCell ref="M64:M65"/>
    <mergeCell ref="N64:N65"/>
    <mergeCell ref="C68:C69"/>
  </mergeCells>
  <conditionalFormatting sqref="P8:P71">
    <cfRule type="cellIs" dxfId="1" priority="2" operator="greaterThan">
      <formula>0.9</formula>
    </cfRule>
  </conditionalFormatting>
  <conditionalFormatting sqref="P75:P88">
    <cfRule type="cellIs" dxfId="0" priority="1" operator="greaterThan">
      <formula>0.98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="80" zoomScaleNormal="80" workbookViewId="0">
      <selection activeCell="O113" sqref="O113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6</v>
      </c>
      <c r="B1" s="15" t="s">
        <v>7</v>
      </c>
      <c r="C1" s="24" t="s">
        <v>8</v>
      </c>
      <c r="D1" s="24" t="s">
        <v>9</v>
      </c>
      <c r="E1" s="24" t="s">
        <v>10</v>
      </c>
      <c r="F1" s="24" t="s">
        <v>11</v>
      </c>
      <c r="G1" s="24" t="s">
        <v>12</v>
      </c>
      <c r="H1" s="24" t="s">
        <v>13</v>
      </c>
      <c r="I1" s="24" t="s">
        <v>14</v>
      </c>
      <c r="J1" s="24" t="s">
        <v>15</v>
      </c>
      <c r="K1" s="24" t="s">
        <v>16</v>
      </c>
      <c r="L1" s="24" t="s">
        <v>17</v>
      </c>
      <c r="M1" s="25" t="s">
        <v>18</v>
      </c>
      <c r="N1" s="24" t="s">
        <v>19</v>
      </c>
      <c r="O1" s="26" t="s">
        <v>20</v>
      </c>
      <c r="P1" s="26" t="s">
        <v>78</v>
      </c>
      <c r="Q1" s="26" t="s">
        <v>79</v>
      </c>
    </row>
    <row r="2" spans="1:17">
      <c r="A2" s="63" t="s">
        <v>22</v>
      </c>
      <c r="B2" s="64" t="s">
        <v>23</v>
      </c>
      <c r="C2" s="19" t="s">
        <v>2</v>
      </c>
      <c r="D2" s="19" t="s">
        <v>21</v>
      </c>
      <c r="E2" s="27" t="str">
        <f>+'CUOTA INDUSTRIAL'!C$8</f>
        <v>ALIMENTOS MARINOS S.A.</v>
      </c>
      <c r="F2" s="20" t="s">
        <v>24</v>
      </c>
      <c r="G2" s="20" t="s">
        <v>25</v>
      </c>
      <c r="H2" s="21">
        <f>'CUOTA INDUSTRIAL'!E8</f>
        <v>0.161</v>
      </c>
      <c r="I2" s="21">
        <f>'CUOTA INDUSTRIAL'!F8</f>
        <v>0</v>
      </c>
      <c r="J2" s="21">
        <f>'CUOTA INDUSTRIAL'!G8</f>
        <v>0.161</v>
      </c>
      <c r="K2" s="21">
        <f>'CUOTA INDUSTRIAL'!H8</f>
        <v>0</v>
      </c>
      <c r="L2" s="21">
        <f>'CUOTA INDUSTRIAL'!I8</f>
        <v>0.161</v>
      </c>
      <c r="M2" s="22">
        <f>'CUOTA INDUSTRIAL'!J8</f>
        <v>0</v>
      </c>
      <c r="N2" s="19" t="s">
        <v>36</v>
      </c>
      <c r="O2" s="23">
        <f>RESUMEN!$B$5</f>
        <v>44926</v>
      </c>
      <c r="P2" s="19">
        <v>2022</v>
      </c>
      <c r="Q2" s="19"/>
    </row>
    <row r="3" spans="1:17">
      <c r="A3" s="63" t="s">
        <v>22</v>
      </c>
      <c r="B3" s="64" t="s">
        <v>23</v>
      </c>
      <c r="C3" s="19" t="s">
        <v>2</v>
      </c>
      <c r="D3" s="19" t="s">
        <v>21</v>
      </c>
      <c r="E3" s="27" t="str">
        <f>+'CUOTA INDUSTRIAL'!C$8</f>
        <v>ALIMENTOS MARINOS S.A.</v>
      </c>
      <c r="F3" s="19" t="s">
        <v>26</v>
      </c>
      <c r="G3" s="19" t="s">
        <v>27</v>
      </c>
      <c r="H3" s="21">
        <f>'CUOTA INDUSTRIAL'!E9</f>
        <v>0.24099999999999999</v>
      </c>
      <c r="I3" s="21">
        <f>'CUOTA INDUSTRIAL'!F9</f>
        <v>0.40129999999999999</v>
      </c>
      <c r="J3" s="21">
        <f>'CUOTA INDUSTRIAL'!G9</f>
        <v>0.80330000000000001</v>
      </c>
      <c r="K3" s="21">
        <f>'CUOTA INDUSTRIAL'!H9</f>
        <v>0</v>
      </c>
      <c r="L3" s="21">
        <f>'CUOTA INDUSTRIAL'!I9</f>
        <v>0.80330000000000001</v>
      </c>
      <c r="M3" s="22">
        <f>'CUOTA INDUSTRIAL'!J9</f>
        <v>0</v>
      </c>
      <c r="N3" s="19" t="s">
        <v>36</v>
      </c>
      <c r="O3" s="23">
        <f>RESUMEN!$B$5</f>
        <v>44926</v>
      </c>
      <c r="P3" s="19">
        <v>2022</v>
      </c>
      <c r="Q3" s="19"/>
    </row>
    <row r="4" spans="1:17" s="72" customFormat="1">
      <c r="A4" s="66" t="s">
        <v>22</v>
      </c>
      <c r="B4" s="67" t="s">
        <v>23</v>
      </c>
      <c r="C4" s="68" t="s">
        <v>2</v>
      </c>
      <c r="D4" s="68" t="s">
        <v>21</v>
      </c>
      <c r="E4" s="73" t="str">
        <f>+'CUOTA INDUSTRIAL'!C$8</f>
        <v>ALIMENTOS MARINOS S.A.</v>
      </c>
      <c r="F4" s="68" t="s">
        <v>24</v>
      </c>
      <c r="G4" s="68" t="s">
        <v>27</v>
      </c>
      <c r="H4" s="69">
        <f>'CUOTA INDUSTRIAL'!K8</f>
        <v>0.40200000000000002</v>
      </c>
      <c r="I4" s="69">
        <f>'CUOTA INDUSTRIAL'!L8</f>
        <v>0.40129999999999999</v>
      </c>
      <c r="J4" s="69">
        <f>'CUOTA INDUSTRIAL'!M8</f>
        <v>0.80330000000000001</v>
      </c>
      <c r="K4" s="69">
        <f>'CUOTA INDUSTRIAL'!N8</f>
        <v>0</v>
      </c>
      <c r="L4" s="69">
        <f>'CUOTA INDUSTRIAL'!O8</f>
        <v>0.80330000000000001</v>
      </c>
      <c r="M4" s="70">
        <f>'CUOTA INDUSTRIAL'!P8</f>
        <v>0</v>
      </c>
      <c r="N4" s="68" t="s">
        <v>36</v>
      </c>
      <c r="O4" s="71">
        <f>RESUMEN!$B$5</f>
        <v>44926</v>
      </c>
      <c r="P4" s="19">
        <v>2022</v>
      </c>
      <c r="Q4" s="68"/>
    </row>
    <row r="5" spans="1:17">
      <c r="A5" s="63" t="s">
        <v>22</v>
      </c>
      <c r="B5" s="64" t="s">
        <v>23</v>
      </c>
      <c r="C5" s="19" t="s">
        <v>2</v>
      </c>
      <c r="D5" s="19" t="s">
        <v>21</v>
      </c>
      <c r="E5" s="27" t="str">
        <f>+'CUOTA INDUSTRIAL'!C$10</f>
        <v>PACIFICBLU SpA.</v>
      </c>
      <c r="F5" s="20" t="s">
        <v>24</v>
      </c>
      <c r="G5" s="20" t="s">
        <v>25</v>
      </c>
      <c r="H5" s="21">
        <f>'CUOTA INDUSTRIAL'!E10</f>
        <v>952.59299999999996</v>
      </c>
      <c r="I5" s="21">
        <f>'CUOTA INDUSTRIAL'!F10</f>
        <v>1140.597</v>
      </c>
      <c r="J5" s="21">
        <f>'CUOTA INDUSTRIAL'!G10</f>
        <v>2093.19</v>
      </c>
      <c r="K5" s="21">
        <f>'CUOTA INDUSTRIAL'!H10</f>
        <v>415.01499999999999</v>
      </c>
      <c r="L5" s="21">
        <f>'CUOTA INDUSTRIAL'!I10</f>
        <v>1678.1750000000002</v>
      </c>
      <c r="M5" s="22">
        <f>'CUOTA INDUSTRIAL'!J10</f>
        <v>0.19826914900224057</v>
      </c>
      <c r="N5" s="19" t="s">
        <v>36</v>
      </c>
      <c r="O5" s="23">
        <f>RESUMEN!$B$5</f>
        <v>44926</v>
      </c>
      <c r="P5" s="19">
        <v>2022</v>
      </c>
      <c r="Q5" s="19"/>
    </row>
    <row r="6" spans="1:17">
      <c r="A6" s="63" t="s">
        <v>22</v>
      </c>
      <c r="B6" s="64" t="s">
        <v>23</v>
      </c>
      <c r="C6" s="19" t="s">
        <v>2</v>
      </c>
      <c r="D6" s="19" t="s">
        <v>21</v>
      </c>
      <c r="E6" s="27" t="str">
        <f>+'CUOTA INDUSTRIAL'!C$10</f>
        <v>PACIFICBLU SpA.</v>
      </c>
      <c r="F6" s="19" t="s">
        <v>26</v>
      </c>
      <c r="G6" s="19" t="s">
        <v>27</v>
      </c>
      <c r="H6" s="21">
        <f>'CUOTA INDUSTRIAL'!E11</f>
        <v>1429.1859999999999</v>
      </c>
      <c r="I6" s="21">
        <f>'CUOTA INDUSTRIAL'!F11</f>
        <v>-2587.0210000000002</v>
      </c>
      <c r="J6" s="21">
        <f>'CUOTA INDUSTRIAL'!G11</f>
        <v>520.33999999999992</v>
      </c>
      <c r="K6" s="21">
        <f>'CUOTA INDUSTRIAL'!H11</f>
        <v>414.20600000000002</v>
      </c>
      <c r="L6" s="21">
        <f>'CUOTA INDUSTRIAL'!I11</f>
        <v>106.1339999999999</v>
      </c>
      <c r="M6" s="22">
        <f>'CUOTA INDUSTRIAL'!J11</f>
        <v>0.79602951916054898</v>
      </c>
      <c r="N6" s="19" t="s">
        <v>36</v>
      </c>
      <c r="O6" s="23">
        <f>RESUMEN!$B$5</f>
        <v>44926</v>
      </c>
      <c r="P6" s="19">
        <v>2022</v>
      </c>
      <c r="Q6" s="19"/>
    </row>
    <row r="7" spans="1:17" s="72" customFormat="1">
      <c r="A7" s="66" t="s">
        <v>22</v>
      </c>
      <c r="B7" s="67" t="s">
        <v>23</v>
      </c>
      <c r="C7" s="68" t="s">
        <v>2</v>
      </c>
      <c r="D7" s="68" t="s">
        <v>21</v>
      </c>
      <c r="E7" s="73" t="str">
        <f>+'CUOTA INDUSTRIAL'!C$10</f>
        <v>PACIFICBLU SpA.</v>
      </c>
      <c r="F7" s="68" t="s">
        <v>24</v>
      </c>
      <c r="G7" s="68" t="s">
        <v>27</v>
      </c>
      <c r="H7" s="69">
        <f>'CUOTA INDUSTRIAL'!K10</f>
        <v>2381.779</v>
      </c>
      <c r="I7" s="69">
        <f>'CUOTA INDUSTRIAL'!L10</f>
        <v>-1446.4240000000002</v>
      </c>
      <c r="J7" s="69">
        <f>'CUOTA INDUSTRIAL'!M10</f>
        <v>935.35499999999979</v>
      </c>
      <c r="K7" s="69">
        <f>'CUOTA INDUSTRIAL'!N10</f>
        <v>829.221</v>
      </c>
      <c r="L7" s="69">
        <f>'CUOTA INDUSTRIAL'!O10</f>
        <v>106.13399999999979</v>
      </c>
      <c r="M7" s="70">
        <f>'CUOTA INDUSTRIAL'!P10</f>
        <v>0.88653078243020045</v>
      </c>
      <c r="N7" s="68" t="s">
        <v>36</v>
      </c>
      <c r="O7" s="71">
        <f>RESUMEN!$B$5</f>
        <v>44926</v>
      </c>
      <c r="P7" s="19">
        <v>2022</v>
      </c>
      <c r="Q7" s="68"/>
    </row>
    <row r="8" spans="1:17">
      <c r="A8" s="63" t="s">
        <v>22</v>
      </c>
      <c r="B8" s="64" t="s">
        <v>23</v>
      </c>
      <c r="C8" s="19" t="s">
        <v>2</v>
      </c>
      <c r="D8" s="19" t="s">
        <v>21</v>
      </c>
      <c r="E8" s="27" t="str">
        <f>+'CUOTA INDUSTRIAL'!C$12</f>
        <v>BRACPESCA S.A.</v>
      </c>
      <c r="F8" s="20" t="s">
        <v>24</v>
      </c>
      <c r="G8" s="20" t="s">
        <v>25</v>
      </c>
      <c r="H8" s="21">
        <f>'CUOTA INDUSTRIAL'!E12</f>
        <v>9.6000000000000002E-2</v>
      </c>
      <c r="I8" s="21">
        <f>'CUOTA INDUSTRIAL'!F12</f>
        <v>0</v>
      </c>
      <c r="J8" s="21">
        <f>'CUOTA INDUSTRIAL'!G12</f>
        <v>9.6000000000000002E-2</v>
      </c>
      <c r="K8" s="21">
        <f>'CUOTA INDUSTRIAL'!H12</f>
        <v>0</v>
      </c>
      <c r="L8" s="21">
        <f>'CUOTA INDUSTRIAL'!I12</f>
        <v>9.6000000000000002E-2</v>
      </c>
      <c r="M8" s="22">
        <f>'CUOTA INDUSTRIAL'!J12</f>
        <v>0</v>
      </c>
      <c r="N8" s="19" t="s">
        <v>36</v>
      </c>
      <c r="O8" s="23">
        <f>RESUMEN!$B$5</f>
        <v>44926</v>
      </c>
      <c r="P8" s="19">
        <v>2022</v>
      </c>
      <c r="Q8" s="19"/>
    </row>
    <row r="9" spans="1:17">
      <c r="A9" s="63" t="s">
        <v>22</v>
      </c>
      <c r="B9" s="64" t="s">
        <v>23</v>
      </c>
      <c r="C9" s="19" t="s">
        <v>2</v>
      </c>
      <c r="D9" s="19" t="s">
        <v>21</v>
      </c>
      <c r="E9" s="27" t="str">
        <f>+'CUOTA INDUSTRIAL'!C$12</f>
        <v>BRACPESCA S.A.</v>
      </c>
      <c r="F9" s="19" t="s">
        <v>26</v>
      </c>
      <c r="G9" s="19" t="s">
        <v>27</v>
      </c>
      <c r="H9" s="21">
        <f>'CUOTA INDUSTRIAL'!E13</f>
        <v>0.14399999999999999</v>
      </c>
      <c r="I9" s="21">
        <f>'CUOTA INDUSTRIAL'!F13</f>
        <v>0</v>
      </c>
      <c r="J9" s="21">
        <f>'CUOTA INDUSTRIAL'!G13</f>
        <v>0.24</v>
      </c>
      <c r="K9" s="21">
        <f>'CUOTA INDUSTRIAL'!H13</f>
        <v>0</v>
      </c>
      <c r="L9" s="21">
        <f>'CUOTA INDUSTRIAL'!I13</f>
        <v>0.24</v>
      </c>
      <c r="M9" s="22">
        <f>'CUOTA INDUSTRIAL'!J13</f>
        <v>0</v>
      </c>
      <c r="N9" s="19" t="s">
        <v>36</v>
      </c>
      <c r="O9" s="23">
        <f>RESUMEN!$B$5</f>
        <v>44926</v>
      </c>
      <c r="P9" s="19">
        <v>2022</v>
      </c>
      <c r="Q9" s="19"/>
    </row>
    <row r="10" spans="1:17" s="72" customFormat="1">
      <c r="A10" s="66" t="s">
        <v>22</v>
      </c>
      <c r="B10" s="67" t="s">
        <v>23</v>
      </c>
      <c r="C10" s="68" t="s">
        <v>2</v>
      </c>
      <c r="D10" s="68" t="s">
        <v>21</v>
      </c>
      <c r="E10" s="73" t="str">
        <f>+'CUOTA INDUSTRIAL'!C$12</f>
        <v>BRACPESCA S.A.</v>
      </c>
      <c r="F10" s="68" t="s">
        <v>24</v>
      </c>
      <c r="G10" s="68" t="s">
        <v>27</v>
      </c>
      <c r="H10" s="69">
        <f>'CUOTA INDUSTRIAL'!K12</f>
        <v>0.24</v>
      </c>
      <c r="I10" s="69">
        <f>'CUOTA INDUSTRIAL'!L12</f>
        <v>0</v>
      </c>
      <c r="J10" s="69">
        <f>'CUOTA INDUSTRIAL'!M12</f>
        <v>0.24</v>
      </c>
      <c r="K10" s="69">
        <f>'CUOTA INDUSTRIAL'!N12</f>
        <v>0</v>
      </c>
      <c r="L10" s="69">
        <f>'CUOTA INDUSTRIAL'!O12</f>
        <v>0.24</v>
      </c>
      <c r="M10" s="70">
        <f>'CUOTA INDUSTRIAL'!P12</f>
        <v>0</v>
      </c>
      <c r="N10" s="68" t="s">
        <v>36</v>
      </c>
      <c r="O10" s="71">
        <f>RESUMEN!$B$5</f>
        <v>44926</v>
      </c>
      <c r="P10" s="19">
        <v>2022</v>
      </c>
      <c r="Q10" s="68"/>
    </row>
    <row r="11" spans="1:17">
      <c r="A11" s="63" t="s">
        <v>22</v>
      </c>
      <c r="B11" s="64" t="s">
        <v>23</v>
      </c>
      <c r="C11" s="19" t="s">
        <v>2</v>
      </c>
      <c r="D11" s="19" t="s">
        <v>21</v>
      </c>
      <c r="E11" s="27" t="s">
        <v>121</v>
      </c>
      <c r="F11" s="20" t="s">
        <v>24</v>
      </c>
      <c r="G11" s="20" t="s">
        <v>25</v>
      </c>
      <c r="H11" s="21">
        <f>'CUOTA INDUSTRIAL'!E14</f>
        <v>9.6000000000000002E-2</v>
      </c>
      <c r="I11" s="21">
        <f>'CUOTA INDUSTRIAL'!F14</f>
        <v>0</v>
      </c>
      <c r="J11" s="21">
        <f>'CUOTA INDUSTRIAL'!G14</f>
        <v>9.6000000000000002E-2</v>
      </c>
      <c r="K11" s="21">
        <f>'CUOTA INDUSTRIAL'!H14</f>
        <v>0</v>
      </c>
      <c r="L11" s="21">
        <f>'CUOTA INDUSTRIAL'!I14</f>
        <v>9.6000000000000002E-2</v>
      </c>
      <c r="M11" s="21">
        <f>'CUOTA INDUSTRIAL'!J14</f>
        <v>0</v>
      </c>
      <c r="N11" s="68" t="s">
        <v>36</v>
      </c>
      <c r="O11" s="71">
        <f>RESUMEN!$B$5</f>
        <v>44926</v>
      </c>
      <c r="P11" s="19">
        <v>2022</v>
      </c>
      <c r="Q11" s="19"/>
    </row>
    <row r="12" spans="1:17">
      <c r="A12" s="63" t="s">
        <v>22</v>
      </c>
      <c r="B12" s="64" t="s">
        <v>23</v>
      </c>
      <c r="C12" s="19" t="s">
        <v>2</v>
      </c>
      <c r="D12" s="19" t="s">
        <v>21</v>
      </c>
      <c r="E12" s="27" t="s">
        <v>121</v>
      </c>
      <c r="F12" s="19" t="s">
        <v>26</v>
      </c>
      <c r="G12" s="19" t="s">
        <v>27</v>
      </c>
      <c r="H12" s="21">
        <f>'CUOTA INDUSTRIAL'!E15</f>
        <v>0.14399999999999999</v>
      </c>
      <c r="I12" s="21">
        <f>'CUOTA INDUSTRIAL'!F15</f>
        <v>0</v>
      </c>
      <c r="J12" s="21">
        <f>'CUOTA INDUSTRIAL'!G15</f>
        <v>0.24</v>
      </c>
      <c r="K12" s="21">
        <f>'CUOTA INDUSTRIAL'!H15</f>
        <v>0</v>
      </c>
      <c r="L12" s="21">
        <f>'CUOTA INDUSTRIAL'!I15</f>
        <v>0.24</v>
      </c>
      <c r="M12" s="21">
        <f>'CUOTA INDUSTRIAL'!J15</f>
        <v>0</v>
      </c>
      <c r="N12" s="68" t="s">
        <v>36</v>
      </c>
      <c r="O12" s="71">
        <f>RESUMEN!$B$5</f>
        <v>44926</v>
      </c>
      <c r="P12" s="19">
        <v>2022</v>
      </c>
      <c r="Q12" s="19"/>
    </row>
    <row r="13" spans="1:17" s="72" customFormat="1">
      <c r="A13" s="66" t="s">
        <v>22</v>
      </c>
      <c r="B13" s="67" t="s">
        <v>23</v>
      </c>
      <c r="C13" s="68" t="s">
        <v>2</v>
      </c>
      <c r="D13" s="68" t="s">
        <v>21</v>
      </c>
      <c r="E13" s="73" t="s">
        <v>121</v>
      </c>
      <c r="F13" s="68" t="s">
        <v>24</v>
      </c>
      <c r="G13" s="68" t="s">
        <v>27</v>
      </c>
      <c r="H13" s="69">
        <f>'CUOTA INDUSTRIAL'!K14</f>
        <v>0.24</v>
      </c>
      <c r="I13" s="69">
        <f>'CUOTA INDUSTRIAL'!L14</f>
        <v>0</v>
      </c>
      <c r="J13" s="69">
        <f>'CUOTA INDUSTRIAL'!M14</f>
        <v>0.24</v>
      </c>
      <c r="K13" s="69">
        <f>'CUOTA INDUSTRIAL'!N14</f>
        <v>0</v>
      </c>
      <c r="L13" s="69">
        <f>'CUOTA INDUSTRIAL'!O14</f>
        <v>0.24</v>
      </c>
      <c r="M13" s="69">
        <f>'CUOTA INDUSTRIAL'!P14</f>
        <v>0</v>
      </c>
      <c r="N13" s="68" t="s">
        <v>36</v>
      </c>
      <c r="O13" s="71">
        <f>RESUMEN!$B$5</f>
        <v>44926</v>
      </c>
      <c r="P13" s="19">
        <v>2022</v>
      </c>
      <c r="Q13" s="68"/>
    </row>
    <row r="14" spans="1:17">
      <c r="A14" s="63" t="s">
        <v>22</v>
      </c>
      <c r="B14" s="64" t="s">
        <v>23</v>
      </c>
      <c r="C14" s="19" t="s">
        <v>2</v>
      </c>
      <c r="D14" s="19" t="s">
        <v>21</v>
      </c>
      <c r="E14" s="27" t="s">
        <v>122</v>
      </c>
      <c r="F14" s="20" t="s">
        <v>24</v>
      </c>
      <c r="G14" s="20" t="s">
        <v>25</v>
      </c>
      <c r="H14" s="21">
        <f>'CUOTA INDUSTRIAL'!E16</f>
        <v>9.6000000000000002E-2</v>
      </c>
      <c r="I14" s="21">
        <f>'CUOTA INDUSTRIAL'!F16</f>
        <v>0</v>
      </c>
      <c r="J14" s="21">
        <f>'CUOTA INDUSTRIAL'!G16</f>
        <v>9.6000000000000002E-2</v>
      </c>
      <c r="K14" s="21">
        <f>'CUOTA INDUSTRIAL'!H16</f>
        <v>0</v>
      </c>
      <c r="L14" s="21">
        <f>'CUOTA INDUSTRIAL'!I16</f>
        <v>9.6000000000000002E-2</v>
      </c>
      <c r="M14" s="21">
        <f>'CUOTA INDUSTRIAL'!J16</f>
        <v>0</v>
      </c>
      <c r="N14" s="68" t="s">
        <v>36</v>
      </c>
      <c r="O14" s="71">
        <f>RESUMEN!$B$5</f>
        <v>44926</v>
      </c>
      <c r="P14" s="19">
        <v>2022</v>
      </c>
      <c r="Q14" s="19"/>
    </row>
    <row r="15" spans="1:17">
      <c r="A15" s="63" t="s">
        <v>22</v>
      </c>
      <c r="B15" s="64" t="s">
        <v>23</v>
      </c>
      <c r="C15" s="19" t="s">
        <v>2</v>
      </c>
      <c r="D15" s="19" t="s">
        <v>21</v>
      </c>
      <c r="E15" s="27" t="s">
        <v>122</v>
      </c>
      <c r="F15" s="19" t="s">
        <v>26</v>
      </c>
      <c r="G15" s="19" t="s">
        <v>27</v>
      </c>
      <c r="H15" s="21">
        <f>'CUOTA INDUSTRIAL'!E17</f>
        <v>0.14399999999999999</v>
      </c>
      <c r="I15" s="21">
        <f>'CUOTA INDUSTRIAL'!F17</f>
        <v>0</v>
      </c>
      <c r="J15" s="21">
        <f>'CUOTA INDUSTRIAL'!G17</f>
        <v>0.24</v>
      </c>
      <c r="K15" s="21">
        <f>'CUOTA INDUSTRIAL'!H17</f>
        <v>0</v>
      </c>
      <c r="L15" s="21">
        <f>'CUOTA INDUSTRIAL'!I17</f>
        <v>0.24</v>
      </c>
      <c r="M15" s="21">
        <f>'CUOTA INDUSTRIAL'!J17</f>
        <v>0</v>
      </c>
      <c r="N15" s="68" t="s">
        <v>36</v>
      </c>
      <c r="O15" s="71">
        <f>RESUMEN!$B$5</f>
        <v>44926</v>
      </c>
      <c r="P15" s="19">
        <v>2022</v>
      </c>
      <c r="Q15" s="19"/>
    </row>
    <row r="16" spans="1:17" s="72" customFormat="1">
      <c r="A16" s="66" t="s">
        <v>22</v>
      </c>
      <c r="B16" s="67" t="s">
        <v>23</v>
      </c>
      <c r="C16" s="68" t="s">
        <v>2</v>
      </c>
      <c r="D16" s="68" t="s">
        <v>21</v>
      </c>
      <c r="E16" s="73" t="s">
        <v>122</v>
      </c>
      <c r="F16" s="68" t="s">
        <v>24</v>
      </c>
      <c r="G16" s="68" t="s">
        <v>27</v>
      </c>
      <c r="H16" s="69">
        <f>'CUOTA INDUSTRIAL'!K16</f>
        <v>0.24</v>
      </c>
      <c r="I16" s="69">
        <f>'CUOTA INDUSTRIAL'!L16</f>
        <v>0</v>
      </c>
      <c r="J16" s="69">
        <f>'CUOTA INDUSTRIAL'!M16</f>
        <v>0.24</v>
      </c>
      <c r="K16" s="69">
        <f>'CUOTA INDUSTRIAL'!N16</f>
        <v>0</v>
      </c>
      <c r="L16" s="69">
        <f>'CUOTA INDUSTRIAL'!O16</f>
        <v>0.24</v>
      </c>
      <c r="M16" s="69">
        <f>'CUOTA INDUSTRIAL'!P16</f>
        <v>0</v>
      </c>
      <c r="N16" s="68" t="s">
        <v>36</v>
      </c>
      <c r="O16" s="71">
        <f>RESUMEN!$B$5</f>
        <v>44926</v>
      </c>
      <c r="P16" s="19">
        <v>2022</v>
      </c>
      <c r="Q16" s="68"/>
    </row>
    <row r="17" spans="1:17">
      <c r="A17" s="63" t="s">
        <v>22</v>
      </c>
      <c r="B17" s="64" t="s">
        <v>23</v>
      </c>
      <c r="C17" s="19" t="s">
        <v>2</v>
      </c>
      <c r="D17" s="19" t="s">
        <v>21</v>
      </c>
      <c r="E17" s="27" t="s">
        <v>123</v>
      </c>
      <c r="F17" s="20" t="s">
        <v>24</v>
      </c>
      <c r="G17" s="20" t="s">
        <v>25</v>
      </c>
      <c r="H17" s="21">
        <f>'CUOTA INDUSTRIAL'!E18</f>
        <v>9.6000000000000002E-2</v>
      </c>
      <c r="I17" s="21">
        <f>'CUOTA INDUSTRIAL'!F18</f>
        <v>0</v>
      </c>
      <c r="J17" s="21">
        <f>'CUOTA INDUSTRIAL'!G18</f>
        <v>9.6000000000000002E-2</v>
      </c>
      <c r="K17" s="21">
        <f>'CUOTA INDUSTRIAL'!H18</f>
        <v>0</v>
      </c>
      <c r="L17" s="21">
        <f>'CUOTA INDUSTRIAL'!I18</f>
        <v>9.6000000000000002E-2</v>
      </c>
      <c r="M17" s="21">
        <f>'CUOTA INDUSTRIAL'!J18</f>
        <v>0</v>
      </c>
      <c r="N17" s="68" t="s">
        <v>36</v>
      </c>
      <c r="O17" s="71">
        <f>RESUMEN!$B$5</f>
        <v>44926</v>
      </c>
      <c r="P17" s="19">
        <v>2022</v>
      </c>
      <c r="Q17" s="19"/>
    </row>
    <row r="18" spans="1:17">
      <c r="A18" s="63" t="s">
        <v>22</v>
      </c>
      <c r="B18" s="64" t="s">
        <v>23</v>
      </c>
      <c r="C18" s="19" t="s">
        <v>2</v>
      </c>
      <c r="D18" s="19" t="s">
        <v>21</v>
      </c>
      <c r="E18" s="27" t="s">
        <v>123</v>
      </c>
      <c r="F18" s="19" t="s">
        <v>26</v>
      </c>
      <c r="G18" s="19" t="s">
        <v>27</v>
      </c>
      <c r="H18" s="21">
        <f>'CUOTA INDUSTRIAL'!E19</f>
        <v>0.14399999999999999</v>
      </c>
      <c r="I18" s="21">
        <f>'CUOTA INDUSTRIAL'!F19</f>
        <v>0</v>
      </c>
      <c r="J18" s="21">
        <f>'CUOTA INDUSTRIAL'!G19</f>
        <v>0.24</v>
      </c>
      <c r="K18" s="21">
        <f>'CUOTA INDUSTRIAL'!H19</f>
        <v>0</v>
      </c>
      <c r="L18" s="21">
        <f>'CUOTA INDUSTRIAL'!I19</f>
        <v>0.24</v>
      </c>
      <c r="M18" s="21">
        <f>'CUOTA INDUSTRIAL'!J19</f>
        <v>0</v>
      </c>
      <c r="N18" s="68" t="s">
        <v>36</v>
      </c>
      <c r="O18" s="71">
        <f>RESUMEN!$B$5</f>
        <v>44926</v>
      </c>
      <c r="P18" s="19">
        <v>2022</v>
      </c>
      <c r="Q18" s="19"/>
    </row>
    <row r="19" spans="1:17" s="72" customFormat="1">
      <c r="A19" s="66" t="s">
        <v>22</v>
      </c>
      <c r="B19" s="67" t="s">
        <v>23</v>
      </c>
      <c r="C19" s="68" t="s">
        <v>2</v>
      </c>
      <c r="D19" s="68" t="s">
        <v>21</v>
      </c>
      <c r="E19" s="73" t="s">
        <v>123</v>
      </c>
      <c r="F19" s="68" t="s">
        <v>24</v>
      </c>
      <c r="G19" s="68" t="s">
        <v>27</v>
      </c>
      <c r="H19" s="69">
        <f>'CUOTA INDUSTRIAL'!K18</f>
        <v>0.24</v>
      </c>
      <c r="I19" s="69">
        <f>'CUOTA INDUSTRIAL'!L18</f>
        <v>0</v>
      </c>
      <c r="J19" s="69">
        <f>'CUOTA INDUSTRIAL'!M18</f>
        <v>0.24</v>
      </c>
      <c r="K19" s="69">
        <f>'CUOTA INDUSTRIAL'!N18</f>
        <v>0</v>
      </c>
      <c r="L19" s="69">
        <f>'CUOTA INDUSTRIAL'!O18</f>
        <v>0.24</v>
      </c>
      <c r="M19" s="69">
        <f>'CUOTA INDUSTRIAL'!P18</f>
        <v>0</v>
      </c>
      <c r="N19" s="68" t="s">
        <v>36</v>
      </c>
      <c r="O19" s="71">
        <f>RESUMEN!$B$5</f>
        <v>44926</v>
      </c>
      <c r="P19" s="19">
        <v>2022</v>
      </c>
      <c r="Q19" s="68"/>
    </row>
    <row r="20" spans="1:17">
      <c r="A20" s="63" t="s">
        <v>22</v>
      </c>
      <c r="B20" s="64" t="s">
        <v>23</v>
      </c>
      <c r="C20" s="19" t="s">
        <v>2</v>
      </c>
      <c r="D20" s="19" t="s">
        <v>21</v>
      </c>
      <c r="E20" s="27" t="s">
        <v>124</v>
      </c>
      <c r="F20" s="20" t="s">
        <v>24</v>
      </c>
      <c r="G20" s="20" t="s">
        <v>25</v>
      </c>
      <c r="H20" s="21">
        <f>'CUOTA INDUSTRIAL'!E20</f>
        <v>9.6000000000000002E-2</v>
      </c>
      <c r="I20" s="21">
        <f>'CUOTA INDUSTRIAL'!F20</f>
        <v>0</v>
      </c>
      <c r="J20" s="21">
        <f>'CUOTA INDUSTRIAL'!G20</f>
        <v>9.6000000000000002E-2</v>
      </c>
      <c r="K20" s="21">
        <f>'CUOTA INDUSTRIAL'!H20</f>
        <v>0</v>
      </c>
      <c r="L20" s="21">
        <f>'CUOTA INDUSTRIAL'!I20</f>
        <v>9.6000000000000002E-2</v>
      </c>
      <c r="M20" s="21">
        <f>'CUOTA INDUSTRIAL'!J20</f>
        <v>0</v>
      </c>
      <c r="N20" s="68" t="s">
        <v>36</v>
      </c>
      <c r="O20" s="71">
        <f>RESUMEN!$B$5</f>
        <v>44926</v>
      </c>
      <c r="P20" s="19">
        <v>2022</v>
      </c>
      <c r="Q20" s="19"/>
    </row>
    <row r="21" spans="1:17">
      <c r="A21" s="63" t="s">
        <v>22</v>
      </c>
      <c r="B21" s="64" t="s">
        <v>23</v>
      </c>
      <c r="C21" s="19" t="s">
        <v>2</v>
      </c>
      <c r="D21" s="19" t="s">
        <v>21</v>
      </c>
      <c r="E21" s="27" t="s">
        <v>124</v>
      </c>
      <c r="F21" s="19" t="s">
        <v>26</v>
      </c>
      <c r="G21" s="19" t="s">
        <v>27</v>
      </c>
      <c r="H21" s="21">
        <f>'CUOTA INDUSTRIAL'!E21</f>
        <v>0.14399999999999999</v>
      </c>
      <c r="I21" s="21">
        <f>'CUOTA INDUSTRIAL'!F21</f>
        <v>0</v>
      </c>
      <c r="J21" s="21">
        <f>'CUOTA INDUSTRIAL'!G21</f>
        <v>0.24</v>
      </c>
      <c r="K21" s="21">
        <f>'CUOTA INDUSTRIAL'!H21</f>
        <v>0</v>
      </c>
      <c r="L21" s="21">
        <f>'CUOTA INDUSTRIAL'!I21</f>
        <v>0.24</v>
      </c>
      <c r="M21" s="21">
        <f>'CUOTA INDUSTRIAL'!J21</f>
        <v>0</v>
      </c>
      <c r="N21" s="68" t="s">
        <v>36</v>
      </c>
      <c r="O21" s="71">
        <f>RESUMEN!$B$5</f>
        <v>44926</v>
      </c>
      <c r="P21" s="19">
        <v>2022</v>
      </c>
      <c r="Q21" s="19"/>
    </row>
    <row r="22" spans="1:17" s="72" customFormat="1">
      <c r="A22" s="66" t="s">
        <v>22</v>
      </c>
      <c r="B22" s="67" t="s">
        <v>23</v>
      </c>
      <c r="C22" s="68" t="s">
        <v>2</v>
      </c>
      <c r="D22" s="68" t="s">
        <v>21</v>
      </c>
      <c r="E22" s="73" t="s">
        <v>124</v>
      </c>
      <c r="F22" s="68" t="s">
        <v>24</v>
      </c>
      <c r="G22" s="68" t="s">
        <v>27</v>
      </c>
      <c r="H22" s="69">
        <f>'CUOTA INDUSTRIAL'!K20</f>
        <v>0.24</v>
      </c>
      <c r="I22" s="69">
        <f>'CUOTA INDUSTRIAL'!L20</f>
        <v>0</v>
      </c>
      <c r="J22" s="69">
        <f>'CUOTA INDUSTRIAL'!M20</f>
        <v>0.24</v>
      </c>
      <c r="K22" s="69">
        <f>'CUOTA INDUSTRIAL'!N20</f>
        <v>0</v>
      </c>
      <c r="L22" s="69">
        <f>'CUOTA INDUSTRIAL'!O20</f>
        <v>0.24</v>
      </c>
      <c r="M22" s="69">
        <f>'CUOTA INDUSTRIAL'!P20</f>
        <v>0</v>
      </c>
      <c r="N22" s="68" t="s">
        <v>36</v>
      </c>
      <c r="O22" s="71">
        <f>RESUMEN!$B$5</f>
        <v>44926</v>
      </c>
      <c r="P22" s="19">
        <v>2022</v>
      </c>
      <c r="Q22" s="68"/>
    </row>
    <row r="23" spans="1:17">
      <c r="A23" s="63" t="s">
        <v>22</v>
      </c>
      <c r="B23" s="64" t="s">
        <v>23</v>
      </c>
      <c r="C23" s="19" t="s">
        <v>2</v>
      </c>
      <c r="D23" s="19" t="s">
        <v>21</v>
      </c>
      <c r="E23" s="27" t="str">
        <f>+'CUOTA INDUSTRIAL'!C$22</f>
        <v>BLUMAR S.A.</v>
      </c>
      <c r="F23" s="20" t="s">
        <v>24</v>
      </c>
      <c r="G23" s="20" t="s">
        <v>25</v>
      </c>
      <c r="H23" s="21">
        <f>'CUOTA INDUSTRIAL'!E22</f>
        <v>0.96299999999999997</v>
      </c>
      <c r="I23" s="21">
        <f>'CUOTA INDUSTRIAL'!F22</f>
        <v>0</v>
      </c>
      <c r="J23" s="21">
        <f>'CUOTA INDUSTRIAL'!G22</f>
        <v>0.96299999999999997</v>
      </c>
      <c r="K23" s="21">
        <f>'CUOTA INDUSTRIAL'!H22</f>
        <v>0</v>
      </c>
      <c r="L23" s="21">
        <f>'CUOTA INDUSTRIAL'!I22</f>
        <v>0.96299999999999997</v>
      </c>
      <c r="M23" s="22">
        <f>'CUOTA INDUSTRIAL'!J22</f>
        <v>0</v>
      </c>
      <c r="N23" s="68" t="s">
        <v>36</v>
      </c>
      <c r="O23" s="23">
        <f>RESUMEN!$B$5</f>
        <v>44926</v>
      </c>
      <c r="P23" s="19">
        <v>2022</v>
      </c>
      <c r="Q23" s="19"/>
    </row>
    <row r="24" spans="1:17">
      <c r="A24" s="63" t="s">
        <v>22</v>
      </c>
      <c r="B24" s="64" t="s">
        <v>23</v>
      </c>
      <c r="C24" s="19" t="s">
        <v>2</v>
      </c>
      <c r="D24" s="19" t="s">
        <v>21</v>
      </c>
      <c r="E24" s="27" t="str">
        <f>+'CUOTA INDUSTRIAL'!C$22</f>
        <v>BLUMAR S.A.</v>
      </c>
      <c r="F24" s="19" t="s">
        <v>26</v>
      </c>
      <c r="G24" s="19" t="s">
        <v>27</v>
      </c>
      <c r="H24" s="21">
        <f>'CUOTA INDUSTRIAL'!E23</f>
        <v>1.4450000000000001</v>
      </c>
      <c r="I24" s="21">
        <f>'CUOTA INDUSTRIAL'!F23</f>
        <v>0</v>
      </c>
      <c r="J24" s="21">
        <f>'CUOTA INDUSTRIAL'!G23</f>
        <v>2.4079999999999999</v>
      </c>
      <c r="K24" s="21">
        <f>'CUOTA INDUSTRIAL'!H23</f>
        <v>0</v>
      </c>
      <c r="L24" s="21">
        <f>'CUOTA INDUSTRIAL'!I23</f>
        <v>2.4079999999999999</v>
      </c>
      <c r="M24" s="22">
        <f>'CUOTA INDUSTRIAL'!J23</f>
        <v>0</v>
      </c>
      <c r="N24" s="68" t="s">
        <v>36</v>
      </c>
      <c r="O24" s="23">
        <f>RESUMEN!$B$5</f>
        <v>44926</v>
      </c>
      <c r="P24" s="19">
        <v>2022</v>
      </c>
      <c r="Q24" s="19"/>
    </row>
    <row r="25" spans="1:17" s="72" customFormat="1" ht="15.75" customHeight="1">
      <c r="A25" s="66" t="s">
        <v>22</v>
      </c>
      <c r="B25" s="67" t="s">
        <v>23</v>
      </c>
      <c r="C25" s="68" t="s">
        <v>2</v>
      </c>
      <c r="D25" s="68" t="s">
        <v>21</v>
      </c>
      <c r="E25" s="73" t="str">
        <f>+'CUOTA INDUSTRIAL'!C$22</f>
        <v>BLUMAR S.A.</v>
      </c>
      <c r="F25" s="68" t="s">
        <v>24</v>
      </c>
      <c r="G25" s="68" t="s">
        <v>27</v>
      </c>
      <c r="H25" s="69">
        <f>'CUOTA INDUSTRIAL'!K22</f>
        <v>2.4079999999999999</v>
      </c>
      <c r="I25" s="69">
        <f>'CUOTA INDUSTRIAL'!L22</f>
        <v>0</v>
      </c>
      <c r="J25" s="69">
        <f>'CUOTA INDUSTRIAL'!M22</f>
        <v>2.4079999999999999</v>
      </c>
      <c r="K25" s="69">
        <f>'CUOTA INDUSTRIAL'!N22</f>
        <v>0</v>
      </c>
      <c r="L25" s="69">
        <f>'CUOTA INDUSTRIAL'!O22</f>
        <v>2.4079999999999999</v>
      </c>
      <c r="M25" s="70">
        <f>'CUOTA INDUSTRIAL'!P22</f>
        <v>0</v>
      </c>
      <c r="N25" s="68" t="s">
        <v>36</v>
      </c>
      <c r="O25" s="71">
        <f>RESUMEN!$B$5</f>
        <v>44926</v>
      </c>
      <c r="P25" s="19">
        <v>2022</v>
      </c>
      <c r="Q25" s="68"/>
    </row>
    <row r="26" spans="1:17">
      <c r="A26" s="63" t="s">
        <v>22</v>
      </c>
      <c r="B26" s="64" t="s">
        <v>23</v>
      </c>
      <c r="C26" s="19" t="s">
        <v>2</v>
      </c>
      <c r="D26" s="19" t="s">
        <v>21</v>
      </c>
      <c r="E26" s="27" t="str">
        <f>+'CUOTA INDUSTRIAL'!C$24</f>
        <v>LITORAL SPA. PESQ.</v>
      </c>
      <c r="F26" s="20" t="s">
        <v>24</v>
      </c>
      <c r="G26" s="20" t="s">
        <v>25</v>
      </c>
      <c r="H26" s="21">
        <f>'CUOTA INDUSTRIAL'!E24</f>
        <v>0.13800000000000001</v>
      </c>
      <c r="I26" s="21">
        <f>'CUOTA INDUSTRIAL'!F24</f>
        <v>0</v>
      </c>
      <c r="J26" s="21">
        <f>'CUOTA INDUSTRIAL'!G24</f>
        <v>0.13800000000000001</v>
      </c>
      <c r="K26" s="21">
        <f>'CUOTA INDUSTRIAL'!H24</f>
        <v>0</v>
      </c>
      <c r="L26" s="21">
        <f>'CUOTA INDUSTRIAL'!I24</f>
        <v>0.13800000000000001</v>
      </c>
      <c r="M26" s="22">
        <f>'CUOTA INDUSTRIAL'!J24</f>
        <v>0</v>
      </c>
      <c r="N26" s="68" t="s">
        <v>36</v>
      </c>
      <c r="O26" s="23">
        <f>RESUMEN!$B$5</f>
        <v>44926</v>
      </c>
      <c r="P26" s="19">
        <v>2022</v>
      </c>
      <c r="Q26" s="19"/>
    </row>
    <row r="27" spans="1:17">
      <c r="A27" s="63" t="s">
        <v>22</v>
      </c>
      <c r="B27" s="64" t="s">
        <v>23</v>
      </c>
      <c r="C27" s="19" t="s">
        <v>2</v>
      </c>
      <c r="D27" s="19" t="s">
        <v>21</v>
      </c>
      <c r="E27" s="27" t="str">
        <f>+'CUOTA INDUSTRIAL'!C$24</f>
        <v>LITORAL SPA. PESQ.</v>
      </c>
      <c r="F27" s="19" t="s">
        <v>26</v>
      </c>
      <c r="G27" s="19" t="s">
        <v>27</v>
      </c>
      <c r="H27" s="21">
        <f>'CUOTA INDUSTRIAL'!E25</f>
        <v>0.20700000000000002</v>
      </c>
      <c r="I27" s="21">
        <f>'CUOTA INDUSTRIAL'!F25</f>
        <v>-0.161</v>
      </c>
      <c r="J27" s="21">
        <f>'CUOTA INDUSTRIAL'!G25</f>
        <v>0.18400000000000002</v>
      </c>
      <c r="K27" s="21">
        <f>'CUOTA INDUSTRIAL'!H25</f>
        <v>0</v>
      </c>
      <c r="L27" s="21">
        <f>'CUOTA INDUSTRIAL'!I25</f>
        <v>0.18400000000000002</v>
      </c>
      <c r="M27" s="22">
        <f>'CUOTA INDUSTRIAL'!J25</f>
        <v>0</v>
      </c>
      <c r="N27" s="68" t="s">
        <v>36</v>
      </c>
      <c r="O27" s="23">
        <f>RESUMEN!$B$5</f>
        <v>44926</v>
      </c>
      <c r="P27" s="19">
        <v>2022</v>
      </c>
      <c r="Q27" s="19"/>
    </row>
    <row r="28" spans="1:17" s="72" customFormat="1">
      <c r="A28" s="66" t="s">
        <v>22</v>
      </c>
      <c r="B28" s="67" t="s">
        <v>23</v>
      </c>
      <c r="C28" s="68" t="s">
        <v>2</v>
      </c>
      <c r="D28" s="68" t="s">
        <v>21</v>
      </c>
      <c r="E28" s="73" t="str">
        <f>+'CUOTA INDUSTRIAL'!C$24</f>
        <v>LITORAL SPA. PESQ.</v>
      </c>
      <c r="F28" s="68" t="s">
        <v>24</v>
      </c>
      <c r="G28" s="68" t="s">
        <v>27</v>
      </c>
      <c r="H28" s="69">
        <f>'CUOTA INDUSTRIAL'!K24</f>
        <v>0.34500000000000003</v>
      </c>
      <c r="I28" s="69">
        <f>'CUOTA INDUSTRIAL'!L24</f>
        <v>-0.161</v>
      </c>
      <c r="J28" s="69">
        <f>'CUOTA INDUSTRIAL'!M24</f>
        <v>0.18400000000000002</v>
      </c>
      <c r="K28" s="69">
        <f>'CUOTA INDUSTRIAL'!N24</f>
        <v>0</v>
      </c>
      <c r="L28" s="69">
        <f>'CUOTA INDUSTRIAL'!O24</f>
        <v>0.18400000000000002</v>
      </c>
      <c r="M28" s="70">
        <f>'CUOTA INDUSTRIAL'!P24</f>
        <v>0</v>
      </c>
      <c r="N28" s="68" t="s">
        <v>36</v>
      </c>
      <c r="O28" s="71">
        <f>RESUMEN!$B$5</f>
        <v>44926</v>
      </c>
      <c r="P28" s="19">
        <v>2022</v>
      </c>
      <c r="Q28" s="68"/>
    </row>
    <row r="29" spans="1:17">
      <c r="A29" s="63" t="s">
        <v>22</v>
      </c>
      <c r="B29" s="64" t="s">
        <v>23</v>
      </c>
      <c r="C29" s="19" t="s">
        <v>2</v>
      </c>
      <c r="D29" s="19" t="s">
        <v>21</v>
      </c>
      <c r="E29" s="27" t="str">
        <f>+'CUOTA INDUSTRIAL'!C$26</f>
        <v>FOODCORP CHILE S.A.</v>
      </c>
      <c r="F29" s="20" t="s">
        <v>24</v>
      </c>
      <c r="G29" s="20" t="s">
        <v>25</v>
      </c>
      <c r="H29" s="21">
        <f>'CUOTA INDUSTRIAL'!E26</f>
        <v>17.527999999999999</v>
      </c>
      <c r="I29" s="21">
        <f>'CUOTA INDUSTRIAL'!F26</f>
        <v>0</v>
      </c>
      <c r="J29" s="21">
        <f>'CUOTA INDUSTRIAL'!G26</f>
        <v>17.527999999999999</v>
      </c>
      <c r="K29" s="21">
        <f>'CUOTA INDUSTRIAL'!H26</f>
        <v>0</v>
      </c>
      <c r="L29" s="21">
        <f>'CUOTA INDUSTRIAL'!I26</f>
        <v>17.527999999999999</v>
      </c>
      <c r="M29" s="22">
        <f>'CUOTA INDUSTRIAL'!J26</f>
        <v>0</v>
      </c>
      <c r="N29" s="68" t="s">
        <v>36</v>
      </c>
      <c r="O29" s="23">
        <f>RESUMEN!$B$5</f>
        <v>44926</v>
      </c>
      <c r="P29" s="19">
        <v>2022</v>
      </c>
      <c r="Q29" s="19"/>
    </row>
    <row r="30" spans="1:17">
      <c r="A30" s="63" t="s">
        <v>22</v>
      </c>
      <c r="B30" s="64" t="s">
        <v>23</v>
      </c>
      <c r="C30" s="19" t="s">
        <v>2</v>
      </c>
      <c r="D30" s="19" t="s">
        <v>21</v>
      </c>
      <c r="E30" s="27" t="str">
        <f>+'CUOTA INDUSTRIAL'!C$26</f>
        <v>FOODCORP CHILE S.A.</v>
      </c>
      <c r="F30" s="19" t="s">
        <v>26</v>
      </c>
      <c r="G30" s="19" t="s">
        <v>27</v>
      </c>
      <c r="H30" s="21">
        <f>'CUOTA INDUSTRIAL'!E27</f>
        <v>26.297000000000001</v>
      </c>
      <c r="I30" s="21">
        <f>'CUOTA INDUSTRIAL'!F27</f>
        <v>0</v>
      </c>
      <c r="J30" s="21">
        <f>'CUOTA INDUSTRIAL'!G27</f>
        <v>43.825000000000003</v>
      </c>
      <c r="K30" s="21">
        <f>'CUOTA INDUSTRIAL'!H27</f>
        <v>0</v>
      </c>
      <c r="L30" s="21">
        <f>'CUOTA INDUSTRIAL'!I27</f>
        <v>43.825000000000003</v>
      </c>
      <c r="M30" s="22">
        <f>'CUOTA INDUSTRIAL'!J27</f>
        <v>0</v>
      </c>
      <c r="N30" s="68" t="s">
        <v>36</v>
      </c>
      <c r="O30" s="23">
        <f>RESUMEN!$B$5</f>
        <v>44926</v>
      </c>
      <c r="P30" s="19">
        <v>2022</v>
      </c>
      <c r="Q30" s="19"/>
    </row>
    <row r="31" spans="1:17" s="72" customFormat="1">
      <c r="A31" s="66" t="s">
        <v>22</v>
      </c>
      <c r="B31" s="67" t="s">
        <v>23</v>
      </c>
      <c r="C31" s="68" t="s">
        <v>2</v>
      </c>
      <c r="D31" s="68" t="s">
        <v>21</v>
      </c>
      <c r="E31" s="73" t="str">
        <f>+'CUOTA INDUSTRIAL'!C$26</f>
        <v>FOODCORP CHILE S.A.</v>
      </c>
      <c r="F31" s="68" t="s">
        <v>24</v>
      </c>
      <c r="G31" s="68" t="s">
        <v>27</v>
      </c>
      <c r="H31" s="69">
        <f>'CUOTA INDUSTRIAL'!K26</f>
        <v>43.825000000000003</v>
      </c>
      <c r="I31" s="69">
        <f>'CUOTA INDUSTRIAL'!L26</f>
        <v>0</v>
      </c>
      <c r="J31" s="69">
        <f>'CUOTA INDUSTRIAL'!M26</f>
        <v>43.825000000000003</v>
      </c>
      <c r="K31" s="69">
        <f>'CUOTA INDUSTRIAL'!N26</f>
        <v>0</v>
      </c>
      <c r="L31" s="69">
        <f>'CUOTA INDUSTRIAL'!O26</f>
        <v>43.825000000000003</v>
      </c>
      <c r="M31" s="70">
        <f>'CUOTA INDUSTRIAL'!P26</f>
        <v>0</v>
      </c>
      <c r="N31" s="68" t="s">
        <v>36</v>
      </c>
      <c r="O31" s="71">
        <f>RESUMEN!$B$5</f>
        <v>44926</v>
      </c>
      <c r="P31" s="19">
        <v>2022</v>
      </c>
      <c r="Q31" s="68"/>
    </row>
    <row r="32" spans="1:17">
      <c r="A32" s="63" t="s">
        <v>22</v>
      </c>
      <c r="B32" s="64" t="s">
        <v>23</v>
      </c>
      <c r="C32" s="19" t="s">
        <v>2</v>
      </c>
      <c r="D32" s="19" t="s">
        <v>21</v>
      </c>
      <c r="E32" s="27" t="str">
        <f>+'CUOTA INDUSTRIAL'!C$28</f>
        <v>GRIMAR S.A. PESQ.</v>
      </c>
      <c r="F32" s="20" t="s">
        <v>24</v>
      </c>
      <c r="G32" s="20" t="s">
        <v>25</v>
      </c>
      <c r="H32" s="21">
        <f>'CUOTA INDUSTRIAL'!E28</f>
        <v>417.255</v>
      </c>
      <c r="I32" s="21">
        <f>'CUOTA INDUSTRIAL'!F28</f>
        <v>-570.41700000000003</v>
      </c>
      <c r="J32" s="21">
        <f>'CUOTA INDUSTRIAL'!G28</f>
        <v>-153.16200000000003</v>
      </c>
      <c r="K32" s="21">
        <f>'CUOTA INDUSTRIAL'!H28</f>
        <v>261.25299999999999</v>
      </c>
      <c r="L32" s="21">
        <f>'CUOTA INDUSTRIAL'!I28</f>
        <v>-414.41500000000002</v>
      </c>
      <c r="M32" s="22">
        <f>'CUOTA INDUSTRIAL'!J28</f>
        <v>-1.7057298807798273</v>
      </c>
      <c r="N32" s="68" t="s">
        <v>36</v>
      </c>
      <c r="O32" s="23">
        <f>RESUMEN!$B$5</f>
        <v>44926</v>
      </c>
      <c r="P32" s="19">
        <v>2022</v>
      </c>
      <c r="Q32" s="19"/>
    </row>
    <row r="33" spans="1:17">
      <c r="A33" s="63" t="s">
        <v>22</v>
      </c>
      <c r="B33" s="64" t="s">
        <v>23</v>
      </c>
      <c r="C33" s="19" t="s">
        <v>2</v>
      </c>
      <c r="D33" s="19" t="s">
        <v>21</v>
      </c>
      <c r="E33" s="27" t="str">
        <f>+'CUOTA INDUSTRIAL'!C$28</f>
        <v>GRIMAR S.A. PESQ.</v>
      </c>
      <c r="F33" s="19" t="s">
        <v>26</v>
      </c>
      <c r="G33" s="19" t="s">
        <v>27</v>
      </c>
      <c r="H33" s="21">
        <f>'CUOTA INDUSTRIAL'!E29</f>
        <v>626.01300000000003</v>
      </c>
      <c r="I33" s="21">
        <f>'CUOTA INDUSTRIAL'!F29</f>
        <v>59.957559999999994</v>
      </c>
      <c r="J33" s="21">
        <f>'CUOTA INDUSTRIAL'!G29</f>
        <v>271.55555999999996</v>
      </c>
      <c r="K33" s="21">
        <f>'CUOTA INDUSTRIAL'!H29</f>
        <v>253.52099999999999</v>
      </c>
      <c r="L33" s="21">
        <f>'CUOTA INDUSTRIAL'!I29</f>
        <v>18.034559999999971</v>
      </c>
      <c r="M33" s="22">
        <f>'CUOTA INDUSTRIAL'!J29</f>
        <v>0.93358795526042637</v>
      </c>
      <c r="N33" s="68" t="s">
        <v>36</v>
      </c>
      <c r="O33" s="23">
        <f>RESUMEN!$B$5</f>
        <v>44926</v>
      </c>
      <c r="P33" s="19">
        <v>2022</v>
      </c>
      <c r="Q33" s="19"/>
    </row>
    <row r="34" spans="1:17" s="72" customFormat="1">
      <c r="A34" s="66" t="s">
        <v>22</v>
      </c>
      <c r="B34" s="67" t="s">
        <v>23</v>
      </c>
      <c r="C34" s="68" t="s">
        <v>2</v>
      </c>
      <c r="D34" s="68" t="s">
        <v>21</v>
      </c>
      <c r="E34" s="73" t="str">
        <f>+'CUOTA INDUSTRIAL'!C$28</f>
        <v>GRIMAR S.A. PESQ.</v>
      </c>
      <c r="F34" s="68" t="s">
        <v>24</v>
      </c>
      <c r="G34" s="68" t="s">
        <v>27</v>
      </c>
      <c r="H34" s="69">
        <f>'CUOTA INDUSTRIAL'!K28</f>
        <v>1043.268</v>
      </c>
      <c r="I34" s="69">
        <f>'CUOTA INDUSTRIAL'!L28</f>
        <v>-510.45944000000003</v>
      </c>
      <c r="J34" s="69">
        <f>'CUOTA INDUSTRIAL'!M28</f>
        <v>532.80855999999994</v>
      </c>
      <c r="K34" s="69">
        <f>'CUOTA INDUSTRIAL'!N28</f>
        <v>514.774</v>
      </c>
      <c r="L34" s="69">
        <f>'CUOTA INDUSTRIAL'!O28</f>
        <v>18.034559999999942</v>
      </c>
      <c r="M34" s="70">
        <f>'CUOTA INDUSTRIAL'!P28</f>
        <v>0.96615189515724009</v>
      </c>
      <c r="N34" s="68" t="s">
        <v>36</v>
      </c>
      <c r="O34" s="71">
        <f>RESUMEN!$B$5</f>
        <v>44926</v>
      </c>
      <c r="P34" s="19">
        <v>2022</v>
      </c>
      <c r="Q34" s="68"/>
    </row>
    <row r="35" spans="1:17">
      <c r="A35" s="63" t="s">
        <v>22</v>
      </c>
      <c r="B35" s="64" t="s">
        <v>23</v>
      </c>
      <c r="C35" s="19" t="s">
        <v>2</v>
      </c>
      <c r="D35" s="19" t="s">
        <v>21</v>
      </c>
      <c r="E35" s="27" t="str">
        <f>+'CUOTA INDUSTRIAL'!C$30</f>
        <v>ISLA QUIHUA S.A. PESQ.</v>
      </c>
      <c r="F35" s="20" t="s">
        <v>24</v>
      </c>
      <c r="G35" s="20" t="s">
        <v>25</v>
      </c>
      <c r="H35" s="21">
        <f>'CUOTA INDUSTRIAL'!E30</f>
        <v>0.161</v>
      </c>
      <c r="I35" s="21">
        <f>'CUOTA INDUSTRIAL'!F30</f>
        <v>0</v>
      </c>
      <c r="J35" s="21">
        <f>'CUOTA INDUSTRIAL'!G30</f>
        <v>0.161</v>
      </c>
      <c r="K35" s="21">
        <f>'CUOTA INDUSTRIAL'!H30</f>
        <v>0</v>
      </c>
      <c r="L35" s="21">
        <f>'CUOTA INDUSTRIAL'!I30</f>
        <v>0.161</v>
      </c>
      <c r="M35" s="22">
        <f>'CUOTA INDUSTRIAL'!J30</f>
        <v>0</v>
      </c>
      <c r="N35" s="68" t="s">
        <v>36</v>
      </c>
      <c r="O35" s="23">
        <f>RESUMEN!$B$5</f>
        <v>44926</v>
      </c>
      <c r="P35" s="19">
        <v>2022</v>
      </c>
      <c r="Q35" s="19"/>
    </row>
    <row r="36" spans="1:17">
      <c r="A36" s="63" t="s">
        <v>22</v>
      </c>
      <c r="B36" s="64" t="s">
        <v>23</v>
      </c>
      <c r="C36" s="19" t="s">
        <v>2</v>
      </c>
      <c r="D36" s="19" t="s">
        <v>21</v>
      </c>
      <c r="E36" s="27" t="str">
        <f>+'CUOTA INDUSTRIAL'!C$30</f>
        <v>ISLA QUIHUA S.A. PESQ.</v>
      </c>
      <c r="F36" s="19" t="s">
        <v>26</v>
      </c>
      <c r="G36" s="19" t="s">
        <v>27</v>
      </c>
      <c r="H36" s="21">
        <f>'CUOTA INDUSTRIAL'!E31</f>
        <v>0.24099999999999999</v>
      </c>
      <c r="I36" s="21">
        <f>'CUOTA INDUSTRIAL'!F31</f>
        <v>-0.40129999999999999</v>
      </c>
      <c r="J36" s="21">
        <f>'CUOTA INDUSTRIAL'!G31</f>
        <v>7.0000000000000617E-4</v>
      </c>
      <c r="K36" s="21">
        <f>'CUOTA INDUSTRIAL'!H31</f>
        <v>0</v>
      </c>
      <c r="L36" s="21">
        <f>'CUOTA INDUSTRIAL'!I31</f>
        <v>7.0000000000000617E-4</v>
      </c>
      <c r="M36" s="22">
        <f>'CUOTA INDUSTRIAL'!J31</f>
        <v>0</v>
      </c>
      <c r="N36" s="68" t="s">
        <v>36</v>
      </c>
      <c r="O36" s="23">
        <f>RESUMEN!$B$5</f>
        <v>44926</v>
      </c>
      <c r="P36" s="19">
        <v>2022</v>
      </c>
      <c r="Q36" s="19"/>
    </row>
    <row r="37" spans="1:17" s="72" customFormat="1">
      <c r="A37" s="66" t="s">
        <v>22</v>
      </c>
      <c r="B37" s="67" t="s">
        <v>23</v>
      </c>
      <c r="C37" s="68" t="s">
        <v>2</v>
      </c>
      <c r="D37" s="68" t="s">
        <v>21</v>
      </c>
      <c r="E37" s="73" t="str">
        <f>+'CUOTA INDUSTRIAL'!C$30</f>
        <v>ISLA QUIHUA S.A. PESQ.</v>
      </c>
      <c r="F37" s="68" t="s">
        <v>24</v>
      </c>
      <c r="G37" s="68" t="s">
        <v>27</v>
      </c>
      <c r="H37" s="69">
        <f>'CUOTA INDUSTRIAL'!K30</f>
        <v>0.40200000000000002</v>
      </c>
      <c r="I37" s="69">
        <f>'CUOTA INDUSTRIAL'!L30</f>
        <v>-0.40129999999999999</v>
      </c>
      <c r="J37" s="69">
        <f>'CUOTA INDUSTRIAL'!M30</f>
        <v>7.0000000000003393E-4</v>
      </c>
      <c r="K37" s="69">
        <f>'CUOTA INDUSTRIAL'!N30</f>
        <v>0</v>
      </c>
      <c r="L37" s="69">
        <f>'CUOTA INDUSTRIAL'!O30</f>
        <v>7.0000000000003393E-4</v>
      </c>
      <c r="M37" s="70">
        <f>'CUOTA INDUSTRIAL'!P30</f>
        <v>0</v>
      </c>
      <c r="N37" s="68" t="s">
        <v>36</v>
      </c>
      <c r="O37" s="71">
        <f>RESUMEN!$B$5</f>
        <v>44926</v>
      </c>
      <c r="P37" s="19">
        <v>2022</v>
      </c>
      <c r="Q37" s="68"/>
    </row>
    <row r="38" spans="1:17">
      <c r="A38" s="63" t="s">
        <v>22</v>
      </c>
      <c r="B38" s="64" t="s">
        <v>23</v>
      </c>
      <c r="C38" s="19" t="s">
        <v>2</v>
      </c>
      <c r="D38" s="19" t="s">
        <v>21</v>
      </c>
      <c r="E38" s="27" t="str">
        <f>+'CUOTA INDUSTRIAL'!C$32</f>
        <v>LANDES S.A. SOC. PESQ.</v>
      </c>
      <c r="F38" s="20" t="s">
        <v>24</v>
      </c>
      <c r="G38" s="20" t="s">
        <v>25</v>
      </c>
      <c r="H38" s="21">
        <f>'CUOTA INDUSTRIAL'!E32</f>
        <v>15.613</v>
      </c>
      <c r="I38" s="21">
        <f>'CUOTA INDUSTRIAL'!F32</f>
        <v>0</v>
      </c>
      <c r="J38" s="21">
        <f>'CUOTA INDUSTRIAL'!G32</f>
        <v>15.613</v>
      </c>
      <c r="K38" s="21">
        <f>'CUOTA INDUSTRIAL'!H32</f>
        <v>0</v>
      </c>
      <c r="L38" s="21">
        <f>'CUOTA INDUSTRIAL'!I32</f>
        <v>15.613</v>
      </c>
      <c r="M38" s="22">
        <f>'CUOTA INDUSTRIAL'!J32</f>
        <v>0</v>
      </c>
      <c r="N38" s="68" t="s">
        <v>36</v>
      </c>
      <c r="O38" s="23">
        <f>RESUMEN!$B$5</f>
        <v>44926</v>
      </c>
      <c r="P38" s="19">
        <v>2022</v>
      </c>
      <c r="Q38" s="19"/>
    </row>
    <row r="39" spans="1:17">
      <c r="A39" s="63" t="s">
        <v>22</v>
      </c>
      <c r="B39" s="64" t="s">
        <v>23</v>
      </c>
      <c r="C39" s="19" t="s">
        <v>2</v>
      </c>
      <c r="D39" s="19" t="s">
        <v>21</v>
      </c>
      <c r="E39" s="27" t="str">
        <f>+'CUOTA INDUSTRIAL'!C$32</f>
        <v>LANDES S.A. SOC. PESQ.</v>
      </c>
      <c r="F39" s="19" t="s">
        <v>26</v>
      </c>
      <c r="G39" s="19" t="s">
        <v>27</v>
      </c>
      <c r="H39" s="21">
        <f>'CUOTA INDUSTRIAL'!E33</f>
        <v>23.425000000000001</v>
      </c>
      <c r="I39" s="21">
        <f>'CUOTA INDUSTRIAL'!F33</f>
        <v>39.394540000000006</v>
      </c>
      <c r="J39" s="21">
        <f>'CUOTA INDUSTRIAL'!G33</f>
        <v>78.432540000000003</v>
      </c>
      <c r="K39" s="21">
        <f>'CUOTA INDUSTRIAL'!H33</f>
        <v>3.86</v>
      </c>
      <c r="L39" s="21">
        <f>'CUOTA INDUSTRIAL'!I33</f>
        <v>74.572540000000004</v>
      </c>
      <c r="M39" s="22">
        <f>'CUOTA INDUSTRIAL'!J33</f>
        <v>4.9214267445629067E-2</v>
      </c>
      <c r="N39" s="68" t="s">
        <v>36</v>
      </c>
      <c r="O39" s="23">
        <f>RESUMEN!$B$5</f>
        <v>44926</v>
      </c>
      <c r="P39" s="19">
        <v>2022</v>
      </c>
      <c r="Q39" s="19"/>
    </row>
    <row r="40" spans="1:17" s="72" customFormat="1">
      <c r="A40" s="66" t="s">
        <v>22</v>
      </c>
      <c r="B40" s="67" t="s">
        <v>23</v>
      </c>
      <c r="C40" s="68" t="s">
        <v>2</v>
      </c>
      <c r="D40" s="68" t="s">
        <v>21</v>
      </c>
      <c r="E40" s="73" t="str">
        <f>+'CUOTA INDUSTRIAL'!C$32</f>
        <v>LANDES S.A. SOC. PESQ.</v>
      </c>
      <c r="F40" s="68" t="s">
        <v>24</v>
      </c>
      <c r="G40" s="68" t="s">
        <v>27</v>
      </c>
      <c r="H40" s="69">
        <f>'CUOTA INDUSTRIAL'!K32</f>
        <v>39.037999999999997</v>
      </c>
      <c r="I40" s="69">
        <f>'CUOTA INDUSTRIAL'!L32</f>
        <v>39.394540000000006</v>
      </c>
      <c r="J40" s="69">
        <f>'CUOTA INDUSTRIAL'!M32</f>
        <v>78.432540000000003</v>
      </c>
      <c r="K40" s="69">
        <f>'CUOTA INDUSTRIAL'!N32</f>
        <v>3.86</v>
      </c>
      <c r="L40" s="69">
        <f>'CUOTA INDUSTRIAL'!O32</f>
        <v>74.572540000000004</v>
      </c>
      <c r="M40" s="70">
        <f>'CUOTA INDUSTRIAL'!P32</f>
        <v>4.9214267445629067E-2</v>
      </c>
      <c r="N40" s="68" t="s">
        <v>36</v>
      </c>
      <c r="O40" s="71">
        <f>RESUMEN!$B$5</f>
        <v>44926</v>
      </c>
      <c r="P40" s="19">
        <v>2022</v>
      </c>
      <c r="Q40" s="68"/>
    </row>
    <row r="41" spans="1:17">
      <c r="A41" s="63" t="s">
        <v>22</v>
      </c>
      <c r="B41" s="64" t="s">
        <v>23</v>
      </c>
      <c r="C41" s="19" t="s">
        <v>2</v>
      </c>
      <c r="D41" s="19" t="s">
        <v>21</v>
      </c>
      <c r="E41" s="27" t="str">
        <f>+'CUOTA INDUSTRIAL'!C$34</f>
        <v>LOTA PROTEIN S.A.</v>
      </c>
      <c r="F41" s="20" t="s">
        <v>24</v>
      </c>
      <c r="G41" s="20" t="s">
        <v>25</v>
      </c>
      <c r="H41" s="21">
        <f>'CUOTA INDUSTRIAL'!E34</f>
        <v>0.44900000000000001</v>
      </c>
      <c r="I41" s="21">
        <f>'CUOTA INDUSTRIAL'!F34</f>
        <v>0</v>
      </c>
      <c r="J41" s="21">
        <f>'CUOTA INDUSTRIAL'!G34</f>
        <v>0.44900000000000001</v>
      </c>
      <c r="K41" s="21">
        <f>'CUOTA INDUSTRIAL'!H34</f>
        <v>0</v>
      </c>
      <c r="L41" s="21">
        <f>'CUOTA INDUSTRIAL'!I34</f>
        <v>0.44900000000000001</v>
      </c>
      <c r="M41" s="22">
        <f>'CUOTA INDUSTRIAL'!J34</f>
        <v>0</v>
      </c>
      <c r="N41" s="68" t="s">
        <v>36</v>
      </c>
      <c r="O41" s="23">
        <f>RESUMEN!$B$5</f>
        <v>44926</v>
      </c>
      <c r="P41" s="19">
        <v>2022</v>
      </c>
      <c r="Q41" s="19"/>
    </row>
    <row r="42" spans="1:17">
      <c r="A42" s="63" t="s">
        <v>22</v>
      </c>
      <c r="B42" s="64" t="s">
        <v>23</v>
      </c>
      <c r="C42" s="19" t="s">
        <v>2</v>
      </c>
      <c r="D42" s="19" t="s">
        <v>21</v>
      </c>
      <c r="E42" s="27" t="str">
        <f>+'CUOTA INDUSTRIAL'!C$34</f>
        <v>LOTA PROTEIN S.A.</v>
      </c>
      <c r="F42" s="19" t="s">
        <v>26</v>
      </c>
      <c r="G42" s="19" t="s">
        <v>27</v>
      </c>
      <c r="H42" s="21">
        <f>'CUOTA INDUSTRIAL'!E35</f>
        <v>0.67400000000000004</v>
      </c>
      <c r="I42" s="21">
        <f>'CUOTA INDUSTRIAL'!F35</f>
        <v>0</v>
      </c>
      <c r="J42" s="21">
        <f>'CUOTA INDUSTRIAL'!G35</f>
        <v>1.123</v>
      </c>
      <c r="K42" s="21">
        <f>'CUOTA INDUSTRIAL'!H35</f>
        <v>0</v>
      </c>
      <c r="L42" s="21">
        <f>'CUOTA INDUSTRIAL'!I35</f>
        <v>1.123</v>
      </c>
      <c r="M42" s="22">
        <f>'CUOTA INDUSTRIAL'!J35</f>
        <v>0</v>
      </c>
      <c r="N42" s="68" t="s">
        <v>36</v>
      </c>
      <c r="O42" s="23">
        <f>RESUMEN!$B$5</f>
        <v>44926</v>
      </c>
      <c r="P42" s="19">
        <v>2022</v>
      </c>
      <c r="Q42" s="19"/>
    </row>
    <row r="43" spans="1:17" s="72" customFormat="1">
      <c r="A43" s="66" t="s">
        <v>22</v>
      </c>
      <c r="B43" s="67" t="s">
        <v>23</v>
      </c>
      <c r="C43" s="68" t="s">
        <v>2</v>
      </c>
      <c r="D43" s="68" t="s">
        <v>21</v>
      </c>
      <c r="E43" s="73" t="str">
        <f>+'CUOTA INDUSTRIAL'!C$34</f>
        <v>LOTA PROTEIN S.A.</v>
      </c>
      <c r="F43" s="68" t="s">
        <v>24</v>
      </c>
      <c r="G43" s="68" t="s">
        <v>27</v>
      </c>
      <c r="H43" s="69">
        <f>'CUOTA INDUSTRIAL'!K34</f>
        <v>1.123</v>
      </c>
      <c r="I43" s="69">
        <f>'CUOTA INDUSTRIAL'!L34</f>
        <v>0</v>
      </c>
      <c r="J43" s="69">
        <f>'CUOTA INDUSTRIAL'!M34</f>
        <v>1.123</v>
      </c>
      <c r="K43" s="69">
        <f>'CUOTA INDUSTRIAL'!N34</f>
        <v>0</v>
      </c>
      <c r="L43" s="69">
        <f>'CUOTA INDUSTRIAL'!O34</f>
        <v>1.123</v>
      </c>
      <c r="M43" s="70">
        <f>'CUOTA INDUSTRIAL'!P34</f>
        <v>0</v>
      </c>
      <c r="N43" s="68" t="s">
        <v>36</v>
      </c>
      <c r="O43" s="71">
        <f>RESUMEN!$B$5</f>
        <v>44926</v>
      </c>
      <c r="P43" s="19">
        <v>2022</v>
      </c>
      <c r="Q43" s="68"/>
    </row>
    <row r="44" spans="1:17" s="72" customFormat="1">
      <c r="A44" s="63" t="s">
        <v>22</v>
      </c>
      <c r="B44" s="64" t="s">
        <v>23</v>
      </c>
      <c r="C44" s="19" t="s">
        <v>2</v>
      </c>
      <c r="D44" s="19" t="s">
        <v>21</v>
      </c>
      <c r="E44" s="27" t="s">
        <v>89</v>
      </c>
      <c r="F44" s="20" t="s">
        <v>24</v>
      </c>
      <c r="G44" s="20" t="s">
        <v>25</v>
      </c>
      <c r="H44" s="21">
        <f>'CUOTA INDUSTRIAL'!E36</f>
        <v>1368.1110000000001</v>
      </c>
      <c r="I44" s="69">
        <f>'CUOTA INDUSTRIAL'!F36</f>
        <v>-3420.7040000000002</v>
      </c>
      <c r="J44" s="69">
        <f>'CUOTA INDUSTRIAL'!G36</f>
        <v>-2052.5929999999998</v>
      </c>
      <c r="K44" s="69">
        <f>'CUOTA INDUSTRIAL'!H36</f>
        <v>0</v>
      </c>
      <c r="L44" s="69">
        <f>'CUOTA INDUSTRIAL'!I36</f>
        <v>-2052.5929999999998</v>
      </c>
      <c r="M44" s="69">
        <f>'CUOTA INDUSTRIAL'!J36</f>
        <v>0</v>
      </c>
      <c r="N44" s="68" t="s">
        <v>36</v>
      </c>
      <c r="O44" s="71">
        <f>RESUMEN!$B$5</f>
        <v>44926</v>
      </c>
      <c r="P44" s="19">
        <v>2022</v>
      </c>
      <c r="Q44" s="68"/>
    </row>
    <row r="45" spans="1:17" s="72" customFormat="1">
      <c r="A45" s="63" t="s">
        <v>22</v>
      </c>
      <c r="B45" s="64" t="s">
        <v>23</v>
      </c>
      <c r="C45" s="19" t="s">
        <v>2</v>
      </c>
      <c r="D45" s="19" t="s">
        <v>21</v>
      </c>
      <c r="E45" s="27" t="s">
        <v>89</v>
      </c>
      <c r="F45" s="19" t="s">
        <v>26</v>
      </c>
      <c r="G45" s="19" t="s">
        <v>27</v>
      </c>
      <c r="H45" s="21">
        <f>'CUOTA INDUSTRIAL'!E37</f>
        <v>2052.5930000000003</v>
      </c>
      <c r="I45" s="69">
        <f>'CUOTA INDUSTRIAL'!F37</f>
        <v>0</v>
      </c>
      <c r="J45" s="69">
        <f>'CUOTA INDUSTRIAL'!G37</f>
        <v>0</v>
      </c>
      <c r="K45" s="69">
        <f>'CUOTA INDUSTRIAL'!H37</f>
        <v>0</v>
      </c>
      <c r="L45" s="69">
        <f>'CUOTA INDUSTRIAL'!I37</f>
        <v>0</v>
      </c>
      <c r="M45" s="69" t="e">
        <f>'CUOTA INDUSTRIAL'!J37</f>
        <v>#DIV/0!</v>
      </c>
      <c r="N45" s="68" t="s">
        <v>36</v>
      </c>
      <c r="O45" s="71">
        <f>RESUMEN!$B$5</f>
        <v>44926</v>
      </c>
      <c r="P45" s="19">
        <v>2022</v>
      </c>
      <c r="Q45" s="68"/>
    </row>
    <row r="46" spans="1:17" s="72" customFormat="1">
      <c r="A46" s="66" t="s">
        <v>22</v>
      </c>
      <c r="B46" s="67" t="s">
        <v>23</v>
      </c>
      <c r="C46" s="68" t="s">
        <v>2</v>
      </c>
      <c r="D46" s="68" t="s">
        <v>21</v>
      </c>
      <c r="E46" s="73" t="s">
        <v>89</v>
      </c>
      <c r="F46" s="68" t="s">
        <v>24</v>
      </c>
      <c r="G46" s="68" t="s">
        <v>27</v>
      </c>
      <c r="H46" s="69">
        <f>'CUOTA INDUSTRIAL'!K36</f>
        <v>3420.7040000000006</v>
      </c>
      <c r="I46" s="69">
        <f>'CUOTA INDUSTRIAL'!L36</f>
        <v>-3420.7040000000002</v>
      </c>
      <c r="J46" s="69">
        <f>'CUOTA INDUSTRIAL'!M36</f>
        <v>0</v>
      </c>
      <c r="K46" s="69">
        <f>'CUOTA INDUSTRIAL'!N36</f>
        <v>0</v>
      </c>
      <c r="L46" s="69">
        <f>'CUOTA INDUSTRIAL'!O36</f>
        <v>0</v>
      </c>
      <c r="M46" s="69">
        <f>'CUOTA INDUSTRIAL'!P36</f>
        <v>0</v>
      </c>
      <c r="N46" s="68" t="s">
        <v>36</v>
      </c>
      <c r="O46" s="71">
        <f>RESUMEN!$B$5</f>
        <v>44926</v>
      </c>
      <c r="P46" s="19">
        <v>2022</v>
      </c>
      <c r="Q46" s="68"/>
    </row>
    <row r="47" spans="1:17" ht="30">
      <c r="A47" s="63" t="s">
        <v>22</v>
      </c>
      <c r="B47" s="64" t="s">
        <v>23</v>
      </c>
      <c r="C47" s="19" t="s">
        <v>2</v>
      </c>
      <c r="D47" s="19" t="s">
        <v>21</v>
      </c>
      <c r="E47" s="27" t="str">
        <f>+'CUOTA INDUSTRIAL'!C$38</f>
        <v>ANTONIO CRUZ CORDOVA NAKOUZI E.I.R.L.</v>
      </c>
      <c r="F47" s="20" t="s">
        <v>24</v>
      </c>
      <c r="G47" s="20" t="s">
        <v>25</v>
      </c>
      <c r="H47" s="21">
        <f>'CUOTA INDUSTRIAL'!E38</f>
        <v>3.2000000000000001E-2</v>
      </c>
      <c r="I47" s="21">
        <f>'CUOTA INDUSTRIAL'!F38</f>
        <v>0</v>
      </c>
      <c r="J47" s="21">
        <f>'CUOTA INDUSTRIAL'!G38</f>
        <v>3.2000000000000001E-2</v>
      </c>
      <c r="K47" s="21">
        <f>'CUOTA INDUSTRIAL'!H38</f>
        <v>0</v>
      </c>
      <c r="L47" s="21">
        <f>'CUOTA INDUSTRIAL'!I38</f>
        <v>3.2000000000000001E-2</v>
      </c>
      <c r="M47" s="22">
        <f>'CUOTA INDUSTRIAL'!J38</f>
        <v>0</v>
      </c>
      <c r="N47" s="68" t="s">
        <v>36</v>
      </c>
      <c r="O47" s="23">
        <f>RESUMEN!$B$5</f>
        <v>44926</v>
      </c>
      <c r="P47" s="19">
        <v>2022</v>
      </c>
      <c r="Q47" s="19"/>
    </row>
    <row r="48" spans="1:17" ht="30">
      <c r="A48" s="63" t="s">
        <v>22</v>
      </c>
      <c r="B48" s="64" t="s">
        <v>23</v>
      </c>
      <c r="C48" s="19" t="s">
        <v>2</v>
      </c>
      <c r="D48" s="19" t="s">
        <v>21</v>
      </c>
      <c r="E48" s="27" t="str">
        <f>+'CUOTA INDUSTRIAL'!C$38</f>
        <v>ANTONIO CRUZ CORDOVA NAKOUZI E.I.R.L.</v>
      </c>
      <c r="F48" s="19" t="s">
        <v>26</v>
      </c>
      <c r="G48" s="19" t="s">
        <v>27</v>
      </c>
      <c r="H48" s="21">
        <f>'CUOTA INDUSTRIAL'!E39</f>
        <v>4.9000000000000002E-2</v>
      </c>
      <c r="I48" s="21">
        <f>'CUOTA INDUSTRIAL'!F39</f>
        <v>0</v>
      </c>
      <c r="J48" s="21">
        <f>'CUOTA INDUSTRIAL'!G39</f>
        <v>8.1000000000000003E-2</v>
      </c>
      <c r="K48" s="21">
        <f>'CUOTA INDUSTRIAL'!H39</f>
        <v>0</v>
      </c>
      <c r="L48" s="21">
        <f>'CUOTA INDUSTRIAL'!I39</f>
        <v>8.1000000000000003E-2</v>
      </c>
      <c r="M48" s="22">
        <f>'CUOTA INDUSTRIAL'!J39</f>
        <v>0</v>
      </c>
      <c r="N48" s="68" t="s">
        <v>36</v>
      </c>
      <c r="O48" s="23">
        <f>RESUMEN!$B$5</f>
        <v>44926</v>
      </c>
      <c r="P48" s="19">
        <v>2022</v>
      </c>
      <c r="Q48" s="19"/>
    </row>
    <row r="49" spans="1:17" s="72" customFormat="1" ht="30">
      <c r="A49" s="66" t="s">
        <v>22</v>
      </c>
      <c r="B49" s="67" t="s">
        <v>23</v>
      </c>
      <c r="C49" s="68" t="s">
        <v>2</v>
      </c>
      <c r="D49" s="68" t="s">
        <v>21</v>
      </c>
      <c r="E49" s="73" t="str">
        <f>+'CUOTA INDUSTRIAL'!C$38</f>
        <v>ANTONIO CRUZ CORDOVA NAKOUZI E.I.R.L.</v>
      </c>
      <c r="F49" s="68" t="s">
        <v>24</v>
      </c>
      <c r="G49" s="68" t="s">
        <v>27</v>
      </c>
      <c r="H49" s="69">
        <f>'CUOTA INDUSTRIAL'!K38</f>
        <v>8.1000000000000003E-2</v>
      </c>
      <c r="I49" s="69">
        <f>'CUOTA INDUSTRIAL'!L38</f>
        <v>0</v>
      </c>
      <c r="J49" s="69">
        <f>'CUOTA INDUSTRIAL'!M38</f>
        <v>8.1000000000000003E-2</v>
      </c>
      <c r="K49" s="69">
        <f>'CUOTA INDUSTRIAL'!N38</f>
        <v>0</v>
      </c>
      <c r="L49" s="69">
        <f>'CUOTA INDUSTRIAL'!O38</f>
        <v>8.1000000000000003E-2</v>
      </c>
      <c r="M49" s="70">
        <f>'CUOTA INDUSTRIAL'!P38</f>
        <v>0</v>
      </c>
      <c r="N49" s="68" t="s">
        <v>36</v>
      </c>
      <c r="O49" s="71">
        <f>RESUMEN!$B$5</f>
        <v>44926</v>
      </c>
      <c r="P49" s="19">
        <v>2022</v>
      </c>
      <c r="Q49" s="68"/>
    </row>
    <row r="50" spans="1:17" ht="30">
      <c r="A50" s="63" t="s">
        <v>22</v>
      </c>
      <c r="B50" s="64" t="s">
        <v>23</v>
      </c>
      <c r="C50" s="19" t="s">
        <v>2</v>
      </c>
      <c r="D50" s="19" t="s">
        <v>21</v>
      </c>
      <c r="E50" s="27" t="str">
        <f>+'CUOTA INDUSTRIAL'!C$40</f>
        <v>DA VENEZIA RETAMALES ANTONIO</v>
      </c>
      <c r="F50" s="20" t="s">
        <v>24</v>
      </c>
      <c r="G50" s="20" t="s">
        <v>25</v>
      </c>
      <c r="H50" s="21">
        <f>'CUOTA INDUSTRIAL'!E40</f>
        <v>3.2000000000000001E-2</v>
      </c>
      <c r="I50" s="21">
        <f>'CUOTA INDUSTRIAL'!F40</f>
        <v>0</v>
      </c>
      <c r="J50" s="21">
        <f>'CUOTA INDUSTRIAL'!G40</f>
        <v>3.2000000000000001E-2</v>
      </c>
      <c r="K50" s="21">
        <f>'CUOTA INDUSTRIAL'!H40</f>
        <v>0</v>
      </c>
      <c r="L50" s="21">
        <f>'CUOTA INDUSTRIAL'!I40</f>
        <v>3.2000000000000001E-2</v>
      </c>
      <c r="M50" s="22">
        <f>'CUOTA INDUSTRIAL'!J40</f>
        <v>0</v>
      </c>
      <c r="N50" s="68" t="s">
        <v>36</v>
      </c>
      <c r="O50" s="23">
        <f>RESUMEN!$B$5</f>
        <v>44926</v>
      </c>
      <c r="P50" s="19">
        <v>2022</v>
      </c>
      <c r="Q50" s="19"/>
    </row>
    <row r="51" spans="1:17" ht="30">
      <c r="A51" s="63" t="s">
        <v>22</v>
      </c>
      <c r="B51" s="64" t="s">
        <v>23</v>
      </c>
      <c r="C51" s="19" t="s">
        <v>2</v>
      </c>
      <c r="D51" s="19" t="s">
        <v>21</v>
      </c>
      <c r="E51" s="27" t="str">
        <f>+'CUOTA INDUSTRIAL'!C$40</f>
        <v>DA VENEZIA RETAMALES ANTONIO</v>
      </c>
      <c r="F51" s="19" t="s">
        <v>26</v>
      </c>
      <c r="G51" s="19" t="s">
        <v>27</v>
      </c>
      <c r="H51" s="21">
        <f>'CUOTA INDUSTRIAL'!E41</f>
        <v>4.9000000000000002E-2</v>
      </c>
      <c r="I51" s="21">
        <f>'CUOTA INDUSTRIAL'!F41</f>
        <v>0</v>
      </c>
      <c r="J51" s="21">
        <f>'CUOTA INDUSTRIAL'!G41</f>
        <v>8.1000000000000003E-2</v>
      </c>
      <c r="K51" s="21">
        <f>'CUOTA INDUSTRIAL'!H41</f>
        <v>0</v>
      </c>
      <c r="L51" s="21">
        <f>'CUOTA INDUSTRIAL'!I41</f>
        <v>8.1000000000000003E-2</v>
      </c>
      <c r="M51" s="22">
        <f>'CUOTA INDUSTRIAL'!J41</f>
        <v>0</v>
      </c>
      <c r="N51" s="68" t="s">
        <v>36</v>
      </c>
      <c r="O51" s="23">
        <f>RESUMEN!$B$5</f>
        <v>44926</v>
      </c>
      <c r="P51" s="19">
        <v>2022</v>
      </c>
      <c r="Q51" s="19"/>
    </row>
    <row r="52" spans="1:17" s="72" customFormat="1" ht="30">
      <c r="A52" s="66" t="s">
        <v>22</v>
      </c>
      <c r="B52" s="67" t="s">
        <v>23</v>
      </c>
      <c r="C52" s="68" t="s">
        <v>2</v>
      </c>
      <c r="D52" s="68" t="s">
        <v>21</v>
      </c>
      <c r="E52" s="73" t="str">
        <f>+'CUOTA INDUSTRIAL'!C$40</f>
        <v>DA VENEZIA RETAMALES ANTONIO</v>
      </c>
      <c r="F52" s="68" t="s">
        <v>24</v>
      </c>
      <c r="G52" s="68" t="s">
        <v>27</v>
      </c>
      <c r="H52" s="69">
        <f>'CUOTA INDUSTRIAL'!K40</f>
        <v>8.1000000000000003E-2</v>
      </c>
      <c r="I52" s="69">
        <f>'CUOTA INDUSTRIAL'!L40</f>
        <v>0</v>
      </c>
      <c r="J52" s="69">
        <f>'CUOTA INDUSTRIAL'!M40</f>
        <v>8.1000000000000003E-2</v>
      </c>
      <c r="K52" s="69">
        <f>'CUOTA INDUSTRIAL'!N40</f>
        <v>0</v>
      </c>
      <c r="L52" s="69">
        <f>'CUOTA INDUSTRIAL'!O40</f>
        <v>8.1000000000000003E-2</v>
      </c>
      <c r="M52" s="70">
        <f>'CUOTA INDUSTRIAL'!P40</f>
        <v>0</v>
      </c>
      <c r="N52" s="68" t="s">
        <v>36</v>
      </c>
      <c r="O52" s="71">
        <f>RESUMEN!$B$5</f>
        <v>44926</v>
      </c>
      <c r="P52" s="19">
        <v>2022</v>
      </c>
      <c r="Q52" s="68"/>
    </row>
    <row r="53" spans="1:17">
      <c r="A53" s="63" t="s">
        <v>22</v>
      </c>
      <c r="B53" s="64" t="s">
        <v>23</v>
      </c>
      <c r="C53" s="19" t="s">
        <v>2</v>
      </c>
      <c r="D53" s="19" t="s">
        <v>21</v>
      </c>
      <c r="E53" s="27" t="str">
        <f>+'CUOTA INDUSTRIAL'!C$42</f>
        <v>ENFERMAR LTDA. SOC. PESQ.</v>
      </c>
      <c r="F53" s="20" t="s">
        <v>24</v>
      </c>
      <c r="G53" s="20" t="s">
        <v>25</v>
      </c>
      <c r="H53" s="21">
        <f>'CUOTA INDUSTRIAL'!E42</f>
        <v>3.2000000000000001E-2</v>
      </c>
      <c r="I53" s="21">
        <f>'CUOTA INDUSTRIAL'!F42</f>
        <v>0</v>
      </c>
      <c r="J53" s="21">
        <f>'CUOTA INDUSTRIAL'!G42</f>
        <v>3.2000000000000001E-2</v>
      </c>
      <c r="K53" s="21">
        <f>'CUOTA INDUSTRIAL'!H42</f>
        <v>0</v>
      </c>
      <c r="L53" s="21">
        <f>'CUOTA INDUSTRIAL'!I42</f>
        <v>3.2000000000000001E-2</v>
      </c>
      <c r="M53" s="22">
        <f>'CUOTA INDUSTRIAL'!J42</f>
        <v>0</v>
      </c>
      <c r="N53" s="68" t="s">
        <v>36</v>
      </c>
      <c r="O53" s="23">
        <f>RESUMEN!$B$5</f>
        <v>44926</v>
      </c>
      <c r="P53" s="19">
        <v>2022</v>
      </c>
      <c r="Q53" s="19"/>
    </row>
    <row r="54" spans="1:17">
      <c r="A54" s="63" t="s">
        <v>22</v>
      </c>
      <c r="B54" s="64" t="s">
        <v>23</v>
      </c>
      <c r="C54" s="19" t="s">
        <v>2</v>
      </c>
      <c r="D54" s="19" t="s">
        <v>21</v>
      </c>
      <c r="E54" s="27" t="str">
        <f>+'CUOTA INDUSTRIAL'!C$42</f>
        <v>ENFERMAR LTDA. SOC. PESQ.</v>
      </c>
      <c r="F54" s="19" t="s">
        <v>26</v>
      </c>
      <c r="G54" s="19" t="s">
        <v>27</v>
      </c>
      <c r="H54" s="21">
        <f>'CUOTA INDUSTRIAL'!E43</f>
        <v>4.9000000000000002E-2</v>
      </c>
      <c r="I54" s="21">
        <f>'CUOTA INDUSTRIAL'!F43</f>
        <v>0</v>
      </c>
      <c r="J54" s="21">
        <f>'CUOTA INDUSTRIAL'!G43</f>
        <v>8.1000000000000003E-2</v>
      </c>
      <c r="K54" s="21">
        <f>'CUOTA INDUSTRIAL'!H43</f>
        <v>0</v>
      </c>
      <c r="L54" s="21">
        <f>'CUOTA INDUSTRIAL'!I43</f>
        <v>8.1000000000000003E-2</v>
      </c>
      <c r="M54" s="22">
        <f>'CUOTA INDUSTRIAL'!J43</f>
        <v>0</v>
      </c>
      <c r="N54" s="68" t="s">
        <v>36</v>
      </c>
      <c r="O54" s="23">
        <f>RESUMEN!$B$5</f>
        <v>44926</v>
      </c>
      <c r="P54" s="19">
        <v>2022</v>
      </c>
      <c r="Q54" s="19"/>
    </row>
    <row r="55" spans="1:17" s="72" customFormat="1">
      <c r="A55" s="66" t="s">
        <v>22</v>
      </c>
      <c r="B55" s="67" t="s">
        <v>23</v>
      </c>
      <c r="C55" s="68" t="s">
        <v>2</v>
      </c>
      <c r="D55" s="68" t="s">
        <v>21</v>
      </c>
      <c r="E55" s="73" t="str">
        <f>+'CUOTA INDUSTRIAL'!C$42</f>
        <v>ENFERMAR LTDA. SOC. PESQ.</v>
      </c>
      <c r="F55" s="68" t="s">
        <v>24</v>
      </c>
      <c r="G55" s="68" t="s">
        <v>27</v>
      </c>
      <c r="H55" s="69">
        <f>'CUOTA INDUSTRIAL'!K42</f>
        <v>8.1000000000000003E-2</v>
      </c>
      <c r="I55" s="69">
        <f>'CUOTA INDUSTRIAL'!L42</f>
        <v>0</v>
      </c>
      <c r="J55" s="69">
        <f>'CUOTA INDUSTRIAL'!M42</f>
        <v>8.1000000000000003E-2</v>
      </c>
      <c r="K55" s="69">
        <f>'CUOTA INDUSTRIAL'!N42</f>
        <v>0</v>
      </c>
      <c r="L55" s="69">
        <f>'CUOTA INDUSTRIAL'!O42</f>
        <v>8.1000000000000003E-2</v>
      </c>
      <c r="M55" s="70">
        <f>'CUOTA INDUSTRIAL'!P42</f>
        <v>0</v>
      </c>
      <c r="N55" s="68" t="s">
        <v>36</v>
      </c>
      <c r="O55" s="71">
        <f>RESUMEN!$B$5</f>
        <v>44926</v>
      </c>
      <c r="P55" s="19">
        <v>2022</v>
      </c>
      <c r="Q55" s="68"/>
    </row>
    <row r="56" spans="1:17">
      <c r="A56" s="63" t="s">
        <v>22</v>
      </c>
      <c r="B56" s="64" t="s">
        <v>23</v>
      </c>
      <c r="C56" s="19" t="s">
        <v>2</v>
      </c>
      <c r="D56" s="19" t="s">
        <v>21</v>
      </c>
      <c r="E56" s="27" t="str">
        <f>+'CUOTA INDUSTRIAL'!C$44</f>
        <v xml:space="preserve">ORIZON S.A          </v>
      </c>
      <c r="F56" s="20" t="s">
        <v>24</v>
      </c>
      <c r="G56" s="20" t="s">
        <v>25</v>
      </c>
      <c r="H56" s="21">
        <f>'CUOTA INDUSTRIAL'!E44</f>
        <v>12.544</v>
      </c>
      <c r="I56" s="21">
        <f>'CUOTA INDUSTRIAL'!F44</f>
        <v>0</v>
      </c>
      <c r="J56" s="21">
        <f>'CUOTA INDUSTRIAL'!G44</f>
        <v>12.544</v>
      </c>
      <c r="K56" s="21">
        <f>'CUOTA INDUSTRIAL'!H44</f>
        <v>0</v>
      </c>
      <c r="L56" s="21">
        <f>'CUOTA INDUSTRIAL'!I44</f>
        <v>12.544</v>
      </c>
      <c r="M56" s="22">
        <f>'CUOTA INDUSTRIAL'!J44</f>
        <v>0</v>
      </c>
      <c r="N56" s="68" t="s">
        <v>36</v>
      </c>
      <c r="O56" s="23">
        <f>RESUMEN!$B$5</f>
        <v>44926</v>
      </c>
      <c r="P56" s="19">
        <v>2022</v>
      </c>
      <c r="Q56" s="19"/>
    </row>
    <row r="57" spans="1:17">
      <c r="A57" s="63" t="s">
        <v>22</v>
      </c>
      <c r="B57" s="64" t="s">
        <v>23</v>
      </c>
      <c r="C57" s="19" t="s">
        <v>2</v>
      </c>
      <c r="D57" s="19" t="s">
        <v>21</v>
      </c>
      <c r="E57" s="27" t="str">
        <f>+'CUOTA INDUSTRIAL'!C$44</f>
        <v xml:space="preserve">ORIZON S.A          </v>
      </c>
      <c r="F57" s="19" t="s">
        <v>26</v>
      </c>
      <c r="G57" s="19" t="s">
        <v>27</v>
      </c>
      <c r="H57" s="21">
        <f>'CUOTA INDUSTRIAL'!E45</f>
        <v>18.82</v>
      </c>
      <c r="I57" s="21">
        <f>'CUOTA INDUSTRIAL'!F45</f>
        <v>0</v>
      </c>
      <c r="J57" s="21">
        <f>'CUOTA INDUSTRIAL'!G45</f>
        <v>31.364000000000001</v>
      </c>
      <c r="K57" s="21">
        <f>'CUOTA INDUSTRIAL'!H45</f>
        <v>0</v>
      </c>
      <c r="L57" s="21">
        <f>'CUOTA INDUSTRIAL'!I45</f>
        <v>31.364000000000001</v>
      </c>
      <c r="M57" s="22">
        <f>'CUOTA INDUSTRIAL'!J45</f>
        <v>0</v>
      </c>
      <c r="N57" s="68" t="s">
        <v>36</v>
      </c>
      <c r="O57" s="23">
        <f>RESUMEN!$B$5</f>
        <v>44926</v>
      </c>
      <c r="P57" s="19">
        <v>2022</v>
      </c>
      <c r="Q57" s="19"/>
    </row>
    <row r="58" spans="1:17" s="72" customFormat="1">
      <c r="A58" s="66" t="s">
        <v>22</v>
      </c>
      <c r="B58" s="67" t="s">
        <v>23</v>
      </c>
      <c r="C58" s="68" t="s">
        <v>2</v>
      </c>
      <c r="D58" s="68" t="s">
        <v>21</v>
      </c>
      <c r="E58" s="73" t="str">
        <f>+'CUOTA INDUSTRIAL'!C$44</f>
        <v xml:space="preserve">ORIZON S.A          </v>
      </c>
      <c r="F58" s="68" t="s">
        <v>24</v>
      </c>
      <c r="G58" s="68" t="s">
        <v>27</v>
      </c>
      <c r="H58" s="69">
        <f>'CUOTA INDUSTRIAL'!K44</f>
        <v>31.364000000000001</v>
      </c>
      <c r="I58" s="69">
        <f>'CUOTA INDUSTRIAL'!L44</f>
        <v>0</v>
      </c>
      <c r="J58" s="69">
        <f>'CUOTA INDUSTRIAL'!M44</f>
        <v>31.364000000000001</v>
      </c>
      <c r="K58" s="69">
        <f>'CUOTA INDUSTRIAL'!N44</f>
        <v>0</v>
      </c>
      <c r="L58" s="69">
        <f>'CUOTA INDUSTRIAL'!O44</f>
        <v>31.364000000000001</v>
      </c>
      <c r="M58" s="70">
        <f>'CUOTA INDUSTRIAL'!P44</f>
        <v>0</v>
      </c>
      <c r="N58" s="68" t="s">
        <v>36</v>
      </c>
      <c r="O58" s="71">
        <f>RESUMEN!$B$5</f>
        <v>44926</v>
      </c>
      <c r="P58" s="19">
        <v>2022</v>
      </c>
      <c r="Q58" s="68"/>
    </row>
    <row r="59" spans="1:17">
      <c r="A59" s="63" t="s">
        <v>22</v>
      </c>
      <c r="B59" s="64" t="s">
        <v>23</v>
      </c>
      <c r="C59" s="19" t="s">
        <v>2</v>
      </c>
      <c r="D59" s="19" t="s">
        <v>21</v>
      </c>
      <c r="E59" s="27" t="str">
        <f>+'CUOTA INDUSTRIAL'!C$46</f>
        <v>PESCA CHILE S.A.</v>
      </c>
      <c r="F59" s="20" t="s">
        <v>24</v>
      </c>
      <c r="G59" s="20" t="s">
        <v>25</v>
      </c>
      <c r="H59" s="21">
        <f>+'CUOTA INDUSTRIAL'!E46</f>
        <v>1.0229999999999999</v>
      </c>
      <c r="I59" s="21">
        <f>+'CUOTA INDUSTRIAL'!F46</f>
        <v>0</v>
      </c>
      <c r="J59" s="21">
        <f>+'CUOTA INDUSTRIAL'!G46</f>
        <v>1.0229999999999999</v>
      </c>
      <c r="K59" s="21">
        <f>+'CUOTA INDUSTRIAL'!H46</f>
        <v>0</v>
      </c>
      <c r="L59" s="21">
        <f>+'CUOTA INDUSTRIAL'!I46</f>
        <v>1.0229999999999999</v>
      </c>
      <c r="M59" s="22">
        <f>+'CUOTA INDUSTRIAL'!J46</f>
        <v>0</v>
      </c>
      <c r="N59" s="68" t="s">
        <v>36</v>
      </c>
      <c r="O59" s="23">
        <f>RESUMEN!$B$5</f>
        <v>44926</v>
      </c>
      <c r="P59" s="19">
        <v>2022</v>
      </c>
      <c r="Q59" s="19"/>
    </row>
    <row r="60" spans="1:17">
      <c r="A60" s="63" t="s">
        <v>22</v>
      </c>
      <c r="B60" s="64" t="s">
        <v>23</v>
      </c>
      <c r="C60" s="19" t="s">
        <v>2</v>
      </c>
      <c r="D60" s="19" t="s">
        <v>21</v>
      </c>
      <c r="E60" s="27" t="str">
        <f>+'CUOTA INDUSTRIAL'!C$46</f>
        <v>PESCA CHILE S.A.</v>
      </c>
      <c r="F60" s="19" t="s">
        <v>26</v>
      </c>
      <c r="G60" s="19" t="s">
        <v>27</v>
      </c>
      <c r="H60" s="21">
        <f>+'CUOTA INDUSTRIAL'!E47</f>
        <v>1.5349999999999999</v>
      </c>
      <c r="I60" s="21">
        <f>+'CUOTA INDUSTRIAL'!F47</f>
        <v>0</v>
      </c>
      <c r="J60" s="21">
        <f>+'CUOTA INDUSTRIAL'!G47</f>
        <v>2.5579999999999998</v>
      </c>
      <c r="K60" s="21">
        <f>+'CUOTA INDUSTRIAL'!H47</f>
        <v>0</v>
      </c>
      <c r="L60" s="21">
        <f>+'CUOTA INDUSTRIAL'!I47</f>
        <v>2.5579999999999998</v>
      </c>
      <c r="M60" s="22">
        <f>+'CUOTA INDUSTRIAL'!J47</f>
        <v>0</v>
      </c>
      <c r="N60" s="68" t="s">
        <v>36</v>
      </c>
      <c r="O60" s="23">
        <f>RESUMEN!$B$5</f>
        <v>44926</v>
      </c>
      <c r="P60" s="19">
        <v>2022</v>
      </c>
      <c r="Q60" s="19"/>
    </row>
    <row r="61" spans="1:17" s="72" customFormat="1">
      <c r="A61" s="66" t="s">
        <v>22</v>
      </c>
      <c r="B61" s="67" t="s">
        <v>23</v>
      </c>
      <c r="C61" s="68" t="s">
        <v>2</v>
      </c>
      <c r="D61" s="68" t="s">
        <v>21</v>
      </c>
      <c r="E61" s="73" t="str">
        <f>+'CUOTA INDUSTRIAL'!C$46</f>
        <v>PESCA CHILE S.A.</v>
      </c>
      <c r="F61" s="68" t="s">
        <v>24</v>
      </c>
      <c r="G61" s="68" t="s">
        <v>27</v>
      </c>
      <c r="H61" s="69">
        <f>'CUOTA INDUSTRIAL'!K46</f>
        <v>2.5579999999999998</v>
      </c>
      <c r="I61" s="69">
        <f>'CUOTA INDUSTRIAL'!L46</f>
        <v>0</v>
      </c>
      <c r="J61" s="69">
        <f>'CUOTA INDUSTRIAL'!M46</f>
        <v>2.5579999999999998</v>
      </c>
      <c r="K61" s="69">
        <f>'CUOTA INDUSTRIAL'!N46</f>
        <v>0</v>
      </c>
      <c r="L61" s="69">
        <f>'CUOTA INDUSTRIAL'!O46</f>
        <v>2.5579999999999998</v>
      </c>
      <c r="M61" s="70">
        <f>'CUOTA INDUSTRIAL'!P46</f>
        <v>0</v>
      </c>
      <c r="N61" s="68" t="s">
        <v>36</v>
      </c>
      <c r="O61" s="71">
        <f>RESUMEN!$B$5</f>
        <v>44926</v>
      </c>
      <c r="P61" s="19">
        <v>2022</v>
      </c>
      <c r="Q61" s="68"/>
    </row>
    <row r="62" spans="1:17" s="72" customFormat="1">
      <c r="A62" s="63" t="s">
        <v>22</v>
      </c>
      <c r="B62" s="64" t="s">
        <v>23</v>
      </c>
      <c r="C62" s="19" t="s">
        <v>2</v>
      </c>
      <c r="D62" s="19" t="s">
        <v>21</v>
      </c>
      <c r="E62" s="27" t="s">
        <v>94</v>
      </c>
      <c r="F62" s="20" t="s">
        <v>24</v>
      </c>
      <c r="G62" s="20" t="s">
        <v>25</v>
      </c>
      <c r="H62" s="21">
        <f>'CUOTA INDUSTRIAL'!E48</f>
        <v>408.45100000000002</v>
      </c>
      <c r="I62" s="69">
        <f>'CUOTA INDUSTRIAL'!F48</f>
        <v>-570.18000000000006</v>
      </c>
      <c r="J62" s="69">
        <f>'CUOTA INDUSTRIAL'!G48</f>
        <v>-161.72900000000004</v>
      </c>
      <c r="K62" s="69">
        <f>'CUOTA INDUSTRIAL'!H48</f>
        <v>211.727</v>
      </c>
      <c r="L62" s="69">
        <f>'CUOTA INDUSTRIAL'!I48</f>
        <v>-373.45600000000002</v>
      </c>
      <c r="M62" s="69">
        <f>'CUOTA INDUSTRIAL'!J48</f>
        <v>-1.3091467825807366</v>
      </c>
      <c r="N62" s="68" t="s">
        <v>36</v>
      </c>
      <c r="O62" s="71">
        <f>RESUMEN!$B$5</f>
        <v>44926</v>
      </c>
      <c r="P62" s="19">
        <v>2022</v>
      </c>
      <c r="Q62" s="68"/>
    </row>
    <row r="63" spans="1:17" s="72" customFormat="1">
      <c r="A63" s="63" t="s">
        <v>22</v>
      </c>
      <c r="B63" s="64" t="s">
        <v>23</v>
      </c>
      <c r="C63" s="19" t="s">
        <v>2</v>
      </c>
      <c r="D63" s="19" t="s">
        <v>21</v>
      </c>
      <c r="E63" s="27" t="s">
        <v>94</v>
      </c>
      <c r="F63" s="19" t="s">
        <v>26</v>
      </c>
      <c r="G63" s="19" t="s">
        <v>27</v>
      </c>
      <c r="H63" s="21">
        <f>'CUOTA INDUSTRIAL'!E49</f>
        <v>612.803</v>
      </c>
      <c r="I63" s="69">
        <f>'CUOTA INDUSTRIAL'!F49</f>
        <v>174.95917999999995</v>
      </c>
      <c r="J63" s="69">
        <f>'CUOTA INDUSTRIAL'!G49</f>
        <v>414.30617999999993</v>
      </c>
      <c r="K63" s="69">
        <f>'CUOTA INDUSTRIAL'!H49</f>
        <v>357.036</v>
      </c>
      <c r="L63" s="69">
        <f>'CUOTA INDUSTRIAL'!I49</f>
        <v>57.270179999999925</v>
      </c>
      <c r="M63" s="69">
        <f>'CUOTA INDUSTRIAL'!J49</f>
        <v>0.86176846312068056</v>
      </c>
      <c r="N63" s="68" t="s">
        <v>36</v>
      </c>
      <c r="O63" s="71">
        <f>RESUMEN!$B$5</f>
        <v>44926</v>
      </c>
      <c r="P63" s="19">
        <v>2022</v>
      </c>
      <c r="Q63" s="68"/>
    </row>
    <row r="64" spans="1:17" s="72" customFormat="1">
      <c r="A64" s="66" t="s">
        <v>22</v>
      </c>
      <c r="B64" s="67" t="s">
        <v>23</v>
      </c>
      <c r="C64" s="68" t="s">
        <v>2</v>
      </c>
      <c r="D64" s="68" t="s">
        <v>21</v>
      </c>
      <c r="E64" s="73" t="s">
        <v>94</v>
      </c>
      <c r="F64" s="68" t="s">
        <v>24</v>
      </c>
      <c r="G64" s="68" t="s">
        <v>27</v>
      </c>
      <c r="H64" s="69">
        <f>'CUOTA INDUSTRIAL'!K48</f>
        <v>1021.254</v>
      </c>
      <c r="I64" s="69">
        <f>'CUOTA INDUSTRIAL'!L48</f>
        <v>-395.22082000000012</v>
      </c>
      <c r="J64" s="69">
        <f>'CUOTA INDUSTRIAL'!M48</f>
        <v>626.0331799999999</v>
      </c>
      <c r="K64" s="69">
        <f>'CUOTA INDUSTRIAL'!N48</f>
        <v>568.76300000000003</v>
      </c>
      <c r="L64" s="69">
        <f>'CUOTA INDUSTRIAL'!O48</f>
        <v>57.270179999999868</v>
      </c>
      <c r="M64" s="69">
        <f>'CUOTA INDUSTRIAL'!P48</f>
        <v>0.90851893824541397</v>
      </c>
      <c r="N64" s="68" t="s">
        <v>36</v>
      </c>
      <c r="O64" s="71">
        <f>RESUMEN!$B$5</f>
        <v>44926</v>
      </c>
      <c r="P64" s="19">
        <v>2022</v>
      </c>
      <c r="Q64" s="68"/>
    </row>
    <row r="65" spans="1:17" s="72" customFormat="1">
      <c r="A65" s="63" t="s">
        <v>22</v>
      </c>
      <c r="B65" s="64" t="s">
        <v>23</v>
      </c>
      <c r="C65" s="19" t="s">
        <v>2</v>
      </c>
      <c r="D65" s="19" t="s">
        <v>21</v>
      </c>
      <c r="E65" s="27" t="s">
        <v>3</v>
      </c>
      <c r="F65" s="20" t="s">
        <v>24</v>
      </c>
      <c r="G65" s="20" t="s">
        <v>25</v>
      </c>
      <c r="H65" s="21">
        <f>'CUOTA INDUSTRIAL'!E50</f>
        <v>13.334</v>
      </c>
      <c r="I65" s="69">
        <f>'CUOTA INDUSTRIAL'!F51</f>
        <v>0</v>
      </c>
      <c r="J65" s="69">
        <f>'CUOTA INDUSTRIAL'!G51</f>
        <v>33.338999999999999</v>
      </c>
      <c r="K65" s="69">
        <f>'CUOTA INDUSTRIAL'!H51</f>
        <v>0</v>
      </c>
      <c r="L65" s="69">
        <f>'CUOTA INDUSTRIAL'!I51</f>
        <v>33.338999999999999</v>
      </c>
      <c r="M65" s="69">
        <f>'CUOTA INDUSTRIAL'!J51</f>
        <v>0</v>
      </c>
      <c r="N65" s="68" t="s">
        <v>36</v>
      </c>
      <c r="O65" s="71">
        <f>RESUMEN!$B$5</f>
        <v>44926</v>
      </c>
      <c r="P65" s="19">
        <v>2022</v>
      </c>
      <c r="Q65" s="68"/>
    </row>
    <row r="66" spans="1:17" s="72" customFormat="1">
      <c r="A66" s="63" t="s">
        <v>22</v>
      </c>
      <c r="B66" s="64" t="s">
        <v>23</v>
      </c>
      <c r="C66" s="19" t="s">
        <v>2</v>
      </c>
      <c r="D66" s="19" t="s">
        <v>21</v>
      </c>
      <c r="E66" s="27" t="s">
        <v>3</v>
      </c>
      <c r="F66" s="19" t="s">
        <v>26</v>
      </c>
      <c r="G66" s="19" t="s">
        <v>27</v>
      </c>
      <c r="H66" s="21">
        <f>'CUOTA INDUSTRIAL'!E51</f>
        <v>20.004999999999999</v>
      </c>
      <c r="I66" s="69">
        <f>'CUOTA INDUSTRIAL'!F52</f>
        <v>5.2999999999999999E-2</v>
      </c>
      <c r="J66" s="69">
        <f>'CUOTA INDUSTRIAL'!G52</f>
        <v>8.4999999999999992E-2</v>
      </c>
      <c r="K66" s="69">
        <f>'CUOTA INDUSTRIAL'!H52</f>
        <v>0</v>
      </c>
      <c r="L66" s="69">
        <f>'CUOTA INDUSTRIAL'!I52</f>
        <v>8.4999999999999992E-2</v>
      </c>
      <c r="M66" s="69">
        <f>'CUOTA INDUSTRIAL'!J52</f>
        <v>0</v>
      </c>
      <c r="N66" s="68" t="s">
        <v>36</v>
      </c>
      <c r="O66" s="71">
        <f>RESUMEN!$B$5</f>
        <v>44926</v>
      </c>
      <c r="P66" s="19">
        <v>2022</v>
      </c>
      <c r="Q66" s="68"/>
    </row>
    <row r="67" spans="1:17" s="72" customFormat="1">
      <c r="A67" s="66" t="s">
        <v>22</v>
      </c>
      <c r="B67" s="67" t="s">
        <v>23</v>
      </c>
      <c r="C67" s="68" t="s">
        <v>2</v>
      </c>
      <c r="D67" s="68" t="s">
        <v>21</v>
      </c>
      <c r="E67" s="73" t="s">
        <v>3</v>
      </c>
      <c r="F67" s="68" t="s">
        <v>24</v>
      </c>
      <c r="G67" s="68" t="s">
        <v>27</v>
      </c>
      <c r="H67" s="69">
        <f>'CUOTA INDUSTRIAL'!K50</f>
        <v>33.338999999999999</v>
      </c>
      <c r="I67" s="69">
        <f>'CUOTA INDUSTRIAL'!L50</f>
        <v>0</v>
      </c>
      <c r="J67" s="69">
        <f>'CUOTA INDUSTRIAL'!M50</f>
        <v>33.338999999999999</v>
      </c>
      <c r="K67" s="69">
        <f>'CUOTA INDUSTRIAL'!N50</f>
        <v>0</v>
      </c>
      <c r="L67" s="69">
        <f>'CUOTA INDUSTRIAL'!O50</f>
        <v>33.338999999999999</v>
      </c>
      <c r="M67" s="69">
        <f>'CUOTA INDUSTRIAL'!P50</f>
        <v>0</v>
      </c>
      <c r="N67" s="68" t="s">
        <v>36</v>
      </c>
      <c r="O67" s="71">
        <f>RESUMEN!$B$5</f>
        <v>44926</v>
      </c>
      <c r="P67" s="19">
        <v>2022</v>
      </c>
      <c r="Q67" s="68"/>
    </row>
    <row r="68" spans="1:17" s="72" customFormat="1">
      <c r="A68" s="63" t="s">
        <v>22</v>
      </c>
      <c r="B68" s="64" t="s">
        <v>23</v>
      </c>
      <c r="C68" s="19" t="s">
        <v>2</v>
      </c>
      <c r="D68" s="19" t="s">
        <v>21</v>
      </c>
      <c r="E68" s="27" t="s">
        <v>4</v>
      </c>
      <c r="F68" s="20" t="s">
        <v>24</v>
      </c>
      <c r="G68" s="20" t="s">
        <v>25</v>
      </c>
      <c r="H68" s="21">
        <f>'CUOTA INDUSTRIAL'!E52</f>
        <v>3.2000000000000001E-2</v>
      </c>
      <c r="I68" s="69">
        <f>'CUOTA INDUSTRIAL'!F54</f>
        <v>0</v>
      </c>
      <c r="J68" s="69">
        <f>'CUOTA INDUSTRIAL'!G54</f>
        <v>0.128</v>
      </c>
      <c r="K68" s="69">
        <f>'CUOTA INDUSTRIAL'!H54</f>
        <v>0</v>
      </c>
      <c r="L68" s="69">
        <f>'CUOTA INDUSTRIAL'!I54</f>
        <v>0.128</v>
      </c>
      <c r="M68" s="69">
        <f>'CUOTA INDUSTRIAL'!J54</f>
        <v>0</v>
      </c>
      <c r="N68" s="68" t="s">
        <v>36</v>
      </c>
      <c r="O68" s="71">
        <f>RESUMEN!$B$5</f>
        <v>44926</v>
      </c>
      <c r="P68" s="19">
        <v>2022</v>
      </c>
      <c r="Q68" s="68"/>
    </row>
    <row r="69" spans="1:17" s="72" customFormat="1">
      <c r="A69" s="63" t="s">
        <v>22</v>
      </c>
      <c r="B69" s="64" t="s">
        <v>23</v>
      </c>
      <c r="C69" s="19" t="s">
        <v>2</v>
      </c>
      <c r="D69" s="19" t="s">
        <v>21</v>
      </c>
      <c r="E69" s="27" t="s">
        <v>4</v>
      </c>
      <c r="F69" s="19" t="s">
        <v>26</v>
      </c>
      <c r="G69" s="19" t="s">
        <v>27</v>
      </c>
      <c r="H69" s="21">
        <f>'CUOTA INDUSTRIAL'!E53</f>
        <v>4.9000000000000002E-2</v>
      </c>
      <c r="I69" s="69">
        <f>'CUOTA INDUSTRIAL'!F55</f>
        <v>0</v>
      </c>
      <c r="J69" s="69">
        <f>'CUOTA INDUSTRIAL'!G55</f>
        <v>0.32100000000000001</v>
      </c>
      <c r="K69" s="69">
        <f>'CUOTA INDUSTRIAL'!H55</f>
        <v>0</v>
      </c>
      <c r="L69" s="69">
        <f>'CUOTA INDUSTRIAL'!I55</f>
        <v>0.32100000000000001</v>
      </c>
      <c r="M69" s="69">
        <f>'CUOTA INDUSTRIAL'!J55</f>
        <v>0</v>
      </c>
      <c r="N69" s="68" t="s">
        <v>36</v>
      </c>
      <c r="O69" s="71">
        <f>RESUMEN!$B$5</f>
        <v>44926</v>
      </c>
      <c r="P69" s="19">
        <v>2022</v>
      </c>
      <c r="Q69" s="68"/>
    </row>
    <row r="70" spans="1:17" s="72" customFormat="1">
      <c r="A70" s="66" t="s">
        <v>22</v>
      </c>
      <c r="B70" s="67" t="s">
        <v>23</v>
      </c>
      <c r="C70" s="68" t="s">
        <v>2</v>
      </c>
      <c r="D70" s="68" t="s">
        <v>21</v>
      </c>
      <c r="E70" s="73" t="s">
        <v>4</v>
      </c>
      <c r="F70" s="68" t="s">
        <v>24</v>
      </c>
      <c r="G70" s="68" t="s">
        <v>27</v>
      </c>
      <c r="H70" s="69">
        <f>'CUOTA INDUSTRIAL'!K52</f>
        <v>8.1000000000000003E-2</v>
      </c>
      <c r="I70" s="69">
        <f>'CUOTA INDUSTRIAL'!L52</f>
        <v>5.2999999999999999E-2</v>
      </c>
      <c r="J70" s="69">
        <f>'CUOTA INDUSTRIAL'!M52</f>
        <v>0.13400000000000001</v>
      </c>
      <c r="K70" s="69">
        <f>'CUOTA INDUSTRIAL'!N52</f>
        <v>0</v>
      </c>
      <c r="L70" s="69">
        <f>'CUOTA INDUSTRIAL'!O52</f>
        <v>0.13400000000000001</v>
      </c>
      <c r="M70" s="69">
        <f>'CUOTA INDUSTRIAL'!P52</f>
        <v>0</v>
      </c>
      <c r="N70" s="68" t="s">
        <v>36</v>
      </c>
      <c r="O70" s="71">
        <f>RESUMEN!$B$5</f>
        <v>44926</v>
      </c>
      <c r="P70" s="19">
        <v>2022</v>
      </c>
      <c r="Q70" s="68"/>
    </row>
    <row r="71" spans="1:17" ht="30">
      <c r="A71" s="63" t="s">
        <v>22</v>
      </c>
      <c r="B71" s="64" t="s">
        <v>23</v>
      </c>
      <c r="C71" s="19" t="s">
        <v>2</v>
      </c>
      <c r="D71" s="19" t="s">
        <v>21</v>
      </c>
      <c r="E71" s="27" t="str">
        <f>+'CUOTA INDUSTRIAL'!C$54</f>
        <v>COMERCIAL Y CONSERVERA  SAN LAZARO LTDA.</v>
      </c>
      <c r="F71" s="20" t="s">
        <v>24</v>
      </c>
      <c r="G71" s="20" t="s">
        <v>25</v>
      </c>
      <c r="H71" s="21">
        <f>'CUOTA INDUSTRIAL'!E54</f>
        <v>0.128</v>
      </c>
      <c r="I71" s="21">
        <f>'CUOTA INDUSTRIAL'!F54</f>
        <v>0</v>
      </c>
      <c r="J71" s="21">
        <f>'CUOTA INDUSTRIAL'!G54</f>
        <v>0.128</v>
      </c>
      <c r="K71" s="21">
        <f>'CUOTA INDUSTRIAL'!H54</f>
        <v>0</v>
      </c>
      <c r="L71" s="21">
        <f>'CUOTA INDUSTRIAL'!I54</f>
        <v>0.128</v>
      </c>
      <c r="M71" s="22">
        <f>'CUOTA INDUSTRIAL'!J54</f>
        <v>0</v>
      </c>
      <c r="N71" s="68" t="s">
        <v>36</v>
      </c>
      <c r="O71" s="23">
        <f>RESUMEN!$B$5</f>
        <v>44926</v>
      </c>
      <c r="P71" s="19">
        <v>2022</v>
      </c>
      <c r="Q71" s="19"/>
    </row>
    <row r="72" spans="1:17" ht="30">
      <c r="A72" s="63" t="s">
        <v>22</v>
      </c>
      <c r="B72" s="64" t="s">
        <v>23</v>
      </c>
      <c r="C72" s="19" t="s">
        <v>2</v>
      </c>
      <c r="D72" s="19" t="s">
        <v>21</v>
      </c>
      <c r="E72" s="27" t="str">
        <f>+'CUOTA INDUSTRIAL'!C$54</f>
        <v>COMERCIAL Y CONSERVERA  SAN LAZARO LTDA.</v>
      </c>
      <c r="F72" s="19" t="s">
        <v>26</v>
      </c>
      <c r="G72" s="19" t="s">
        <v>27</v>
      </c>
      <c r="H72" s="21">
        <f>'CUOTA INDUSTRIAL'!E55</f>
        <v>0.193</v>
      </c>
      <c r="I72" s="21">
        <f>'CUOTA INDUSTRIAL'!F55</f>
        <v>0</v>
      </c>
      <c r="J72" s="21">
        <f>'CUOTA INDUSTRIAL'!G55</f>
        <v>0.32100000000000001</v>
      </c>
      <c r="K72" s="21">
        <f>'CUOTA INDUSTRIAL'!H55</f>
        <v>0</v>
      </c>
      <c r="L72" s="21">
        <f>'CUOTA INDUSTRIAL'!I55</f>
        <v>0.32100000000000001</v>
      </c>
      <c r="M72" s="22">
        <f>'CUOTA INDUSTRIAL'!J55</f>
        <v>0</v>
      </c>
      <c r="N72" s="68" t="s">
        <v>36</v>
      </c>
      <c r="O72" s="23">
        <f>RESUMEN!$B$5</f>
        <v>44926</v>
      </c>
      <c r="P72" s="19">
        <v>2022</v>
      </c>
      <c r="Q72" s="19"/>
    </row>
    <row r="73" spans="1:17" s="72" customFormat="1" ht="30">
      <c r="A73" s="66" t="s">
        <v>22</v>
      </c>
      <c r="B73" s="67" t="s">
        <v>23</v>
      </c>
      <c r="C73" s="68" t="s">
        <v>2</v>
      </c>
      <c r="D73" s="68" t="s">
        <v>21</v>
      </c>
      <c r="E73" s="73" t="str">
        <f>+'CUOTA INDUSTRIAL'!C$54</f>
        <v>COMERCIAL Y CONSERVERA  SAN LAZARO LTDA.</v>
      </c>
      <c r="F73" s="68" t="s">
        <v>24</v>
      </c>
      <c r="G73" s="68" t="s">
        <v>27</v>
      </c>
      <c r="H73" s="69">
        <f>'CUOTA INDUSTRIAL'!K54</f>
        <v>0.32100000000000001</v>
      </c>
      <c r="I73" s="69">
        <f>'CUOTA INDUSTRIAL'!L54</f>
        <v>0</v>
      </c>
      <c r="J73" s="69">
        <f>'CUOTA INDUSTRIAL'!M54</f>
        <v>0.32100000000000001</v>
      </c>
      <c r="K73" s="69">
        <f>'CUOTA INDUSTRIAL'!N54</f>
        <v>0</v>
      </c>
      <c r="L73" s="69">
        <f>'CUOTA INDUSTRIAL'!O54</f>
        <v>0.32100000000000001</v>
      </c>
      <c r="M73" s="70">
        <f>'CUOTA INDUSTRIAL'!P54</f>
        <v>0</v>
      </c>
      <c r="N73" s="68" t="s">
        <v>36</v>
      </c>
      <c r="O73" s="71">
        <f>RESUMEN!$B$5</f>
        <v>44926</v>
      </c>
      <c r="P73" s="19">
        <v>2022</v>
      </c>
      <c r="Q73" s="68"/>
    </row>
    <row r="74" spans="1:17" s="72" customFormat="1">
      <c r="A74" s="63" t="s">
        <v>22</v>
      </c>
      <c r="B74" s="64" t="s">
        <v>23</v>
      </c>
      <c r="C74" s="19" t="s">
        <v>2</v>
      </c>
      <c r="D74" s="19" t="s">
        <v>21</v>
      </c>
      <c r="E74" s="27" t="s">
        <v>128</v>
      </c>
      <c r="F74" s="20" t="s">
        <v>24</v>
      </c>
      <c r="G74" s="20" t="s">
        <v>25</v>
      </c>
      <c r="H74" s="21">
        <f>'CUOTA INDUSTRIAL'!E56</f>
        <v>3.2000000000000001E-2</v>
      </c>
      <c r="I74" s="21">
        <f>'CUOTA INDUSTRIAL'!F56</f>
        <v>0</v>
      </c>
      <c r="J74" s="21">
        <f>'CUOTA INDUSTRIAL'!G56</f>
        <v>3.2000000000000001E-2</v>
      </c>
      <c r="K74" s="21">
        <f>'CUOTA INDUSTRIAL'!H56</f>
        <v>0</v>
      </c>
      <c r="L74" s="21">
        <f>'CUOTA INDUSTRIAL'!I56</f>
        <v>3.2000000000000001E-2</v>
      </c>
      <c r="M74" s="21">
        <f>'CUOTA INDUSTRIAL'!J56</f>
        <v>0</v>
      </c>
      <c r="N74" s="68" t="s">
        <v>36</v>
      </c>
      <c r="O74" s="71">
        <f>RESUMEN!$B$5</f>
        <v>44926</v>
      </c>
      <c r="P74" s="19">
        <v>2022</v>
      </c>
      <c r="Q74" s="19"/>
    </row>
    <row r="75" spans="1:17" s="72" customFormat="1">
      <c r="A75" s="63" t="s">
        <v>22</v>
      </c>
      <c r="B75" s="64" t="s">
        <v>23</v>
      </c>
      <c r="C75" s="19" t="s">
        <v>2</v>
      </c>
      <c r="D75" s="19" t="s">
        <v>21</v>
      </c>
      <c r="E75" s="27" t="s">
        <v>128</v>
      </c>
      <c r="F75" s="19" t="s">
        <v>26</v>
      </c>
      <c r="G75" s="19" t="s">
        <v>27</v>
      </c>
      <c r="H75" s="21">
        <f>'CUOTA INDUSTRIAL'!E57</f>
        <v>4.8000000000000001E-2</v>
      </c>
      <c r="I75" s="21">
        <f>'CUOTA INDUSTRIAL'!F57</f>
        <v>0.16045999999999999</v>
      </c>
      <c r="J75" s="21">
        <f>'CUOTA INDUSTRIAL'!G57</f>
        <v>0.24045999999999998</v>
      </c>
      <c r="K75" s="21">
        <f>'CUOTA INDUSTRIAL'!H57</f>
        <v>0</v>
      </c>
      <c r="L75" s="21">
        <f>'CUOTA INDUSTRIAL'!I57</f>
        <v>0.24045999999999998</v>
      </c>
      <c r="M75" s="21">
        <f>'CUOTA INDUSTRIAL'!J57</f>
        <v>0</v>
      </c>
      <c r="N75" s="68" t="s">
        <v>36</v>
      </c>
      <c r="O75" s="71">
        <f>RESUMEN!$B$5</f>
        <v>44926</v>
      </c>
      <c r="P75" s="19">
        <v>2022</v>
      </c>
      <c r="Q75" s="19"/>
    </row>
    <row r="76" spans="1:17" s="72" customFormat="1">
      <c r="A76" s="63" t="s">
        <v>22</v>
      </c>
      <c r="B76" s="64" t="s">
        <v>23</v>
      </c>
      <c r="C76" s="19" t="s">
        <v>2</v>
      </c>
      <c r="D76" s="19" t="s">
        <v>21</v>
      </c>
      <c r="E76" s="73" t="s">
        <v>128</v>
      </c>
      <c r="F76" s="68" t="s">
        <v>24</v>
      </c>
      <c r="G76" s="68" t="s">
        <v>27</v>
      </c>
      <c r="H76" s="69">
        <f>'CUOTA INDUSTRIAL'!K56</f>
        <v>0.08</v>
      </c>
      <c r="I76" s="69">
        <f>'CUOTA INDUSTRIAL'!L56</f>
        <v>0.16045999999999999</v>
      </c>
      <c r="J76" s="69">
        <f>'CUOTA INDUSTRIAL'!M56</f>
        <v>0.24046000000000001</v>
      </c>
      <c r="K76" s="69">
        <f>'CUOTA INDUSTRIAL'!N56</f>
        <v>0</v>
      </c>
      <c r="L76" s="69">
        <f>'CUOTA INDUSTRIAL'!O56</f>
        <v>0.24046000000000001</v>
      </c>
      <c r="M76" s="69">
        <f>'CUOTA INDUSTRIAL'!P56</f>
        <v>0</v>
      </c>
      <c r="N76" s="68" t="s">
        <v>36</v>
      </c>
      <c r="O76" s="71">
        <f>RESUMEN!$B$5</f>
        <v>44926</v>
      </c>
      <c r="P76" s="19">
        <v>2022</v>
      </c>
      <c r="Q76" s="68"/>
    </row>
    <row r="77" spans="1:17" s="72" customFormat="1">
      <c r="A77" s="63" t="s">
        <v>22</v>
      </c>
      <c r="B77" s="64" t="s">
        <v>23</v>
      </c>
      <c r="C77" s="19" t="s">
        <v>2</v>
      </c>
      <c r="D77" s="19" t="s">
        <v>21</v>
      </c>
      <c r="E77" s="27" t="s">
        <v>127</v>
      </c>
      <c r="F77" s="20" t="s">
        <v>24</v>
      </c>
      <c r="G77" s="20" t="s">
        <v>25</v>
      </c>
      <c r="H77" s="21">
        <f>'CUOTA INDUSTRIAL'!E58</f>
        <v>3.2000000000000001E-2</v>
      </c>
      <c r="I77" s="21">
        <f>'CUOTA INDUSTRIAL'!F58</f>
        <v>0</v>
      </c>
      <c r="J77" s="21">
        <f>'CUOTA INDUSTRIAL'!G58</f>
        <v>3.2000000000000001E-2</v>
      </c>
      <c r="K77" s="21">
        <f>'CUOTA INDUSTRIAL'!H58</f>
        <v>0</v>
      </c>
      <c r="L77" s="21">
        <f>'CUOTA INDUSTRIAL'!I58</f>
        <v>3.2000000000000001E-2</v>
      </c>
      <c r="M77" s="21">
        <f>'CUOTA INDUSTRIAL'!J58</f>
        <v>0</v>
      </c>
      <c r="N77" s="68" t="s">
        <v>36</v>
      </c>
      <c r="O77" s="71">
        <f>RESUMEN!$B$5</f>
        <v>44926</v>
      </c>
      <c r="P77" s="19">
        <v>2022</v>
      </c>
      <c r="Q77" s="19"/>
    </row>
    <row r="78" spans="1:17" s="72" customFormat="1">
      <c r="A78" s="63" t="s">
        <v>22</v>
      </c>
      <c r="B78" s="64" t="s">
        <v>23</v>
      </c>
      <c r="C78" s="19" t="s">
        <v>2</v>
      </c>
      <c r="D78" s="19" t="s">
        <v>21</v>
      </c>
      <c r="E78" s="27" t="s">
        <v>127</v>
      </c>
      <c r="F78" s="19" t="s">
        <v>26</v>
      </c>
      <c r="G78" s="19" t="s">
        <v>27</v>
      </c>
      <c r="H78" s="21">
        <f>'CUOTA INDUSTRIAL'!E59</f>
        <v>4.8000000000000001E-2</v>
      </c>
      <c r="I78" s="21">
        <f>'CUOTA INDUSTRIAL'!F59</f>
        <v>0</v>
      </c>
      <c r="J78" s="21">
        <f>'CUOTA INDUSTRIAL'!G59</f>
        <v>0.08</v>
      </c>
      <c r="K78" s="21">
        <f>'CUOTA INDUSTRIAL'!H59</f>
        <v>0</v>
      </c>
      <c r="L78" s="21">
        <f>'CUOTA INDUSTRIAL'!I59</f>
        <v>0.08</v>
      </c>
      <c r="M78" s="21">
        <f>'CUOTA INDUSTRIAL'!J59</f>
        <v>0</v>
      </c>
      <c r="N78" s="68" t="s">
        <v>36</v>
      </c>
      <c r="O78" s="71">
        <f>RESUMEN!$B$5</f>
        <v>44926</v>
      </c>
      <c r="P78" s="19">
        <v>2022</v>
      </c>
      <c r="Q78" s="19"/>
    </row>
    <row r="79" spans="1:17" s="72" customFormat="1">
      <c r="A79" s="66" t="s">
        <v>22</v>
      </c>
      <c r="B79" s="67" t="s">
        <v>23</v>
      </c>
      <c r="C79" s="68" t="s">
        <v>2</v>
      </c>
      <c r="D79" s="68" t="s">
        <v>21</v>
      </c>
      <c r="E79" s="73" t="s">
        <v>127</v>
      </c>
      <c r="F79" s="68" t="s">
        <v>24</v>
      </c>
      <c r="G79" s="68" t="s">
        <v>27</v>
      </c>
      <c r="H79" s="69">
        <f>'CUOTA INDUSTRIAL'!K58</f>
        <v>0.08</v>
      </c>
      <c r="I79" s="69">
        <f>'CUOTA INDUSTRIAL'!L58</f>
        <v>0</v>
      </c>
      <c r="J79" s="69">
        <f>'CUOTA INDUSTRIAL'!M58</f>
        <v>0.08</v>
      </c>
      <c r="K79" s="69">
        <f>'CUOTA INDUSTRIAL'!N58</f>
        <v>0</v>
      </c>
      <c r="L79" s="69">
        <f>'CUOTA INDUSTRIAL'!O58</f>
        <v>0.08</v>
      </c>
      <c r="M79" s="69">
        <f>'CUOTA INDUSTRIAL'!P58</f>
        <v>0</v>
      </c>
      <c r="N79" s="68" t="s">
        <v>36</v>
      </c>
      <c r="O79" s="71">
        <f>RESUMEN!$B$5</f>
        <v>44926</v>
      </c>
      <c r="P79" s="19">
        <v>2022</v>
      </c>
      <c r="Q79" s="68"/>
    </row>
    <row r="80" spans="1:17" ht="30">
      <c r="A80" s="63" t="s">
        <v>22</v>
      </c>
      <c r="B80" s="64" t="s">
        <v>23</v>
      </c>
      <c r="C80" s="19" t="s">
        <v>2</v>
      </c>
      <c r="D80" s="19" t="s">
        <v>21</v>
      </c>
      <c r="E80" s="27" t="s">
        <v>125</v>
      </c>
      <c r="F80" s="20" t="s">
        <v>24</v>
      </c>
      <c r="G80" s="20" t="s">
        <v>25</v>
      </c>
      <c r="H80" s="21">
        <f>'CUOTA INDUSTRIAL'!E60</f>
        <v>0.873</v>
      </c>
      <c r="I80" s="21">
        <f>'CUOTA INDUSTRIAL'!F60</f>
        <v>-0.23400000000000001</v>
      </c>
      <c r="J80" s="21">
        <f>'CUOTA INDUSTRIAL'!G60</f>
        <v>0.63900000000000001</v>
      </c>
      <c r="K80" s="21">
        <f>'CUOTA INDUSTRIAL'!H60</f>
        <v>0</v>
      </c>
      <c r="L80" s="21">
        <f>'CUOTA INDUSTRIAL'!I60</f>
        <v>0.63900000000000001</v>
      </c>
      <c r="M80" s="21">
        <f>'CUOTA INDUSTRIAL'!J60</f>
        <v>0</v>
      </c>
      <c r="N80" s="68" t="s">
        <v>36</v>
      </c>
      <c r="O80" s="71">
        <f>RESUMEN!$B$5</f>
        <v>44926</v>
      </c>
      <c r="P80" s="19">
        <v>2022</v>
      </c>
      <c r="Q80" s="19"/>
    </row>
    <row r="81" spans="1:17" ht="30">
      <c r="A81" s="63" t="s">
        <v>22</v>
      </c>
      <c r="B81" s="64" t="s">
        <v>23</v>
      </c>
      <c r="C81" s="19" t="s">
        <v>2</v>
      </c>
      <c r="D81" s="19" t="s">
        <v>21</v>
      </c>
      <c r="E81" s="27" t="s">
        <v>125</v>
      </c>
      <c r="F81" s="19" t="s">
        <v>26</v>
      </c>
      <c r="G81" s="19" t="s">
        <v>27</v>
      </c>
      <c r="H81" s="21">
        <f>'CUOTA INDUSTRIAL'!E61</f>
        <v>1.3089999999999999</v>
      </c>
      <c r="I81" s="21">
        <f>'CUOTA INDUSTRIAL'!F61</f>
        <v>-1.5640000000000001</v>
      </c>
      <c r="J81" s="21">
        <f>'CUOTA INDUSTRIAL'!G61</f>
        <v>0.3839999999999999</v>
      </c>
      <c r="K81" s="21">
        <f>'CUOTA INDUSTRIAL'!H61</f>
        <v>8.5000000000000006E-2</v>
      </c>
      <c r="L81" s="21">
        <f>'CUOTA INDUSTRIAL'!I61</f>
        <v>0.29899999999999988</v>
      </c>
      <c r="M81" s="21">
        <f>'CUOTA INDUSTRIAL'!J61</f>
        <v>0.22135416666666674</v>
      </c>
      <c r="N81" s="68" t="s">
        <v>36</v>
      </c>
      <c r="O81" s="71">
        <f>RESUMEN!$B$5</f>
        <v>44926</v>
      </c>
      <c r="P81" s="19">
        <v>2022</v>
      </c>
      <c r="Q81" s="19"/>
    </row>
    <row r="82" spans="1:17" s="72" customFormat="1" ht="30">
      <c r="A82" s="66" t="s">
        <v>22</v>
      </c>
      <c r="B82" s="67" t="s">
        <v>23</v>
      </c>
      <c r="C82" s="68" t="s">
        <v>2</v>
      </c>
      <c r="D82" s="68" t="s">
        <v>21</v>
      </c>
      <c r="E82" s="73" t="s">
        <v>125</v>
      </c>
      <c r="F82" s="68" t="s">
        <v>24</v>
      </c>
      <c r="G82" s="68" t="s">
        <v>27</v>
      </c>
      <c r="H82" s="69">
        <f>'CUOTA INDUSTRIAL'!K60</f>
        <v>2.1819999999999999</v>
      </c>
      <c r="I82" s="69">
        <f>'CUOTA INDUSTRIAL'!L60</f>
        <v>-1.798</v>
      </c>
      <c r="J82" s="69">
        <f>'CUOTA INDUSTRIAL'!M60</f>
        <v>0.3839999999999999</v>
      </c>
      <c r="K82" s="69">
        <f>'CUOTA INDUSTRIAL'!N60</f>
        <v>8.5000000000000006E-2</v>
      </c>
      <c r="L82" s="69">
        <f>'CUOTA INDUSTRIAL'!O60</f>
        <v>0.29899999999999988</v>
      </c>
      <c r="M82" s="69">
        <f>'CUOTA INDUSTRIAL'!P60</f>
        <v>0.22135416666666674</v>
      </c>
      <c r="N82" s="68" t="s">
        <v>36</v>
      </c>
      <c r="O82" s="71">
        <f>RESUMEN!$B$5</f>
        <v>44926</v>
      </c>
      <c r="P82" s="19">
        <v>2022</v>
      </c>
      <c r="Q82" s="68"/>
    </row>
    <row r="83" spans="1:17">
      <c r="A83" s="63" t="s">
        <v>22</v>
      </c>
      <c r="B83" s="64" t="s">
        <v>23</v>
      </c>
      <c r="C83" s="19" t="s">
        <v>2</v>
      </c>
      <c r="D83" s="19" t="s">
        <v>28</v>
      </c>
      <c r="E83" s="27" t="s">
        <v>29</v>
      </c>
      <c r="F83" s="20" t="s">
        <v>24</v>
      </c>
      <c r="G83" s="20" t="s">
        <v>27</v>
      </c>
      <c r="H83" s="21">
        <f>'CUOTA INDUSTRIAL'!K70</f>
        <v>8025.996000000001</v>
      </c>
      <c r="I83" s="21">
        <f>'CUOTA INDUSTRIAL'!L70</f>
        <v>-5733.2002600000014</v>
      </c>
      <c r="J83" s="21">
        <f>'CUOTA INDUSTRIAL'!M70</f>
        <v>2292.7957399999996</v>
      </c>
      <c r="K83" s="21">
        <f>'CUOTA INDUSTRIAL'!N70</f>
        <v>1916.703</v>
      </c>
      <c r="L83" s="21">
        <f>'CUOTA INDUSTRIAL'!O70</f>
        <v>376.09273999999959</v>
      </c>
      <c r="M83" s="21">
        <f>'CUOTA INDUSTRIAL'!P70</f>
        <v>0.83596762090983312</v>
      </c>
      <c r="N83" s="19" t="s">
        <v>36</v>
      </c>
      <c r="O83" s="23">
        <f>RESUMEN!$B$5</f>
        <v>44926</v>
      </c>
      <c r="P83" s="19">
        <v>2022</v>
      </c>
      <c r="Q83" s="19"/>
    </row>
    <row r="84" spans="1:17">
      <c r="A84" s="63" t="s">
        <v>30</v>
      </c>
      <c r="B84" s="64" t="s">
        <v>23</v>
      </c>
      <c r="C84" s="19" t="s">
        <v>5</v>
      </c>
      <c r="D84" s="19" t="s">
        <v>21</v>
      </c>
      <c r="E84" s="74" t="str">
        <f>+'CUOTA INDUSTRIAL'!C$75</f>
        <v>PACIFICBLU SpA.</v>
      </c>
      <c r="F84" s="20" t="s">
        <v>24</v>
      </c>
      <c r="G84" s="20" t="s">
        <v>25</v>
      </c>
      <c r="H84" s="21">
        <f>'CUOTA INDUSTRIAL'!E75</f>
        <v>0.81</v>
      </c>
      <c r="I84" s="21">
        <f>'CUOTA INDUSTRIAL'!F75</f>
        <v>0</v>
      </c>
      <c r="J84" s="21">
        <f>'CUOTA INDUSTRIAL'!G75</f>
        <v>0.81</v>
      </c>
      <c r="K84" s="21">
        <f>'CUOTA INDUSTRIAL'!H75</f>
        <v>0</v>
      </c>
      <c r="L84" s="21">
        <f>'CUOTA INDUSTRIAL'!I75</f>
        <v>0.81</v>
      </c>
      <c r="M84" s="22">
        <f>'CUOTA INDUSTRIAL'!J73</f>
        <v>0</v>
      </c>
      <c r="N84" s="19" t="s">
        <v>36</v>
      </c>
      <c r="O84" s="23">
        <f>RESUMEN!$B$5</f>
        <v>44926</v>
      </c>
      <c r="P84" s="19">
        <v>2022</v>
      </c>
      <c r="Q84" s="19"/>
    </row>
    <row r="85" spans="1:17">
      <c r="A85" s="63" t="s">
        <v>30</v>
      </c>
      <c r="B85" s="64" t="s">
        <v>23</v>
      </c>
      <c r="C85" s="19" t="s">
        <v>5</v>
      </c>
      <c r="D85" s="19" t="s">
        <v>21</v>
      </c>
      <c r="E85" s="74" t="str">
        <f>+'CUOTA INDUSTRIAL'!C$75</f>
        <v>PACIFICBLU SpA.</v>
      </c>
      <c r="F85" s="19" t="s">
        <v>26</v>
      </c>
      <c r="G85" s="19" t="s">
        <v>27</v>
      </c>
      <c r="H85" s="21">
        <f>'CUOTA INDUSTRIAL'!E76</f>
        <v>1.2150000000000001</v>
      </c>
      <c r="I85" s="21">
        <f>'CUOTA INDUSTRIAL'!F76</f>
        <v>-2.0249999999999999</v>
      </c>
      <c r="J85" s="21">
        <f>'CUOTA INDUSTRIAL'!G76</f>
        <v>0</v>
      </c>
      <c r="K85" s="21">
        <f>'CUOTA INDUSTRIAL'!H76</f>
        <v>0</v>
      </c>
      <c r="L85" s="21">
        <f>'CUOTA INDUSTRIAL'!I76</f>
        <v>0</v>
      </c>
      <c r="M85" s="22">
        <f>'CUOTA INDUSTRIAL'!J74</f>
        <v>0</v>
      </c>
      <c r="N85" s="19" t="s">
        <v>36</v>
      </c>
      <c r="O85" s="23">
        <f>RESUMEN!$B$5</f>
        <v>44926</v>
      </c>
      <c r="P85" s="19">
        <v>2022</v>
      </c>
      <c r="Q85" s="19"/>
    </row>
    <row r="86" spans="1:17" s="72" customFormat="1">
      <c r="A86" s="66" t="s">
        <v>30</v>
      </c>
      <c r="B86" s="67" t="s">
        <v>23</v>
      </c>
      <c r="C86" s="68" t="s">
        <v>5</v>
      </c>
      <c r="D86" s="68" t="s">
        <v>21</v>
      </c>
      <c r="E86" s="75" t="str">
        <f>+'CUOTA INDUSTRIAL'!C$75</f>
        <v>PACIFICBLU SpA.</v>
      </c>
      <c r="F86" s="68" t="s">
        <v>24</v>
      </c>
      <c r="G86" s="68" t="s">
        <v>27</v>
      </c>
      <c r="H86" s="69">
        <f>'CUOTA INDUSTRIAL'!K75</f>
        <v>2.0250000000000004</v>
      </c>
      <c r="I86" s="69">
        <f>'CUOTA INDUSTRIAL'!L75</f>
        <v>-2.0249999999999999</v>
      </c>
      <c r="J86" s="69">
        <f>'CUOTA INDUSTRIAL'!M75</f>
        <v>0</v>
      </c>
      <c r="K86" s="69">
        <f>'CUOTA INDUSTRIAL'!N75</f>
        <v>0</v>
      </c>
      <c r="L86" s="69">
        <f>'CUOTA INDUSTRIAL'!O75</f>
        <v>0</v>
      </c>
      <c r="M86" s="70">
        <f>'CUOTA INDUSTRIAL'!P75</f>
        <v>0</v>
      </c>
      <c r="N86" s="68" t="s">
        <v>36</v>
      </c>
      <c r="O86" s="71">
        <f>RESUMEN!$B$5</f>
        <v>44926</v>
      </c>
      <c r="P86" s="19">
        <v>2022</v>
      </c>
      <c r="Q86" s="68"/>
    </row>
    <row r="87" spans="1:17">
      <c r="A87" s="63" t="s">
        <v>30</v>
      </c>
      <c r="B87" s="64" t="s">
        <v>23</v>
      </c>
      <c r="C87" s="19" t="s">
        <v>5</v>
      </c>
      <c r="D87" s="19" t="s">
        <v>21</v>
      </c>
      <c r="E87" s="74" t="str">
        <f>+'CUOTA INDUSTRIAL'!C$77</f>
        <v xml:space="preserve">EMDEPES S.A.                     </v>
      </c>
      <c r="F87" s="20" t="s">
        <v>24</v>
      </c>
      <c r="G87" s="20" t="s">
        <v>25</v>
      </c>
      <c r="H87" s="21">
        <f>'CUOTA INDUSTRIAL'!E77</f>
        <v>862.19500000000005</v>
      </c>
      <c r="I87" s="21">
        <f>'CUOTA INDUSTRIAL'!F77</f>
        <v>3420.7040000000002</v>
      </c>
      <c r="J87" s="21">
        <f>'CUOTA INDUSTRIAL'!G77</f>
        <v>4282.8990000000003</v>
      </c>
      <c r="K87" s="21">
        <f>'CUOTA INDUSTRIAL'!H77</f>
        <v>58.804000000000002</v>
      </c>
      <c r="L87" s="21">
        <f>'CUOTA INDUSTRIAL'!I77</f>
        <v>4224.0950000000003</v>
      </c>
      <c r="M87" s="22">
        <f>'CUOTA INDUSTRIAL'!J75</f>
        <v>0</v>
      </c>
      <c r="N87" s="19" t="s">
        <v>36</v>
      </c>
      <c r="O87" s="23">
        <f>RESUMEN!$B$5</f>
        <v>44926</v>
      </c>
      <c r="P87" s="19">
        <v>2022</v>
      </c>
      <c r="Q87" s="19"/>
    </row>
    <row r="88" spans="1:17">
      <c r="A88" s="63" t="s">
        <v>30</v>
      </c>
      <c r="B88" s="64" t="s">
        <v>23</v>
      </c>
      <c r="C88" s="19" t="s">
        <v>5</v>
      </c>
      <c r="D88" s="19" t="s">
        <v>21</v>
      </c>
      <c r="E88" s="74" t="str">
        <f>+'CUOTA INDUSTRIAL'!C$77</f>
        <v xml:space="preserve">EMDEPES S.A.                     </v>
      </c>
      <c r="F88" s="19" t="s">
        <v>26</v>
      </c>
      <c r="G88" s="19" t="s">
        <v>27</v>
      </c>
      <c r="H88" s="21">
        <f>'CUOTA INDUSTRIAL'!E78</f>
        <v>1293.6959999999999</v>
      </c>
      <c r="I88" s="21">
        <f>'CUOTA INDUSTRIAL'!F78</f>
        <v>0</v>
      </c>
      <c r="J88" s="21">
        <f>'CUOTA INDUSTRIAL'!G78</f>
        <v>5517.7910000000002</v>
      </c>
      <c r="K88" s="21">
        <f>'CUOTA INDUSTRIAL'!H78</f>
        <v>4429.4070000000002</v>
      </c>
      <c r="L88" s="21">
        <f>'CUOTA INDUSTRIAL'!I78</f>
        <v>1088.384</v>
      </c>
      <c r="M88" s="22">
        <f>'CUOTA INDUSTRIAL'!J76</f>
        <v>0</v>
      </c>
      <c r="N88" s="19" t="s">
        <v>36</v>
      </c>
      <c r="O88" s="23">
        <f>RESUMEN!$B$5</f>
        <v>44926</v>
      </c>
      <c r="P88" s="19">
        <v>2022</v>
      </c>
      <c r="Q88" s="19"/>
    </row>
    <row r="89" spans="1:17" s="72" customFormat="1">
      <c r="A89" s="66" t="s">
        <v>30</v>
      </c>
      <c r="B89" s="67" t="s">
        <v>23</v>
      </c>
      <c r="C89" s="68" t="s">
        <v>5</v>
      </c>
      <c r="D89" s="68" t="s">
        <v>21</v>
      </c>
      <c r="E89" s="75" t="str">
        <f>+'CUOTA INDUSTRIAL'!C$77</f>
        <v xml:space="preserve">EMDEPES S.A.                     </v>
      </c>
      <c r="F89" s="68" t="s">
        <v>24</v>
      </c>
      <c r="G89" s="68" t="s">
        <v>27</v>
      </c>
      <c r="H89" s="69">
        <f>'CUOTA INDUSTRIAL'!K77</f>
        <v>2155.8910000000001</v>
      </c>
      <c r="I89" s="69">
        <f>'CUOTA INDUSTRIAL'!L77</f>
        <v>3420.7040000000002</v>
      </c>
      <c r="J89" s="69">
        <f>'CUOTA INDUSTRIAL'!M77</f>
        <v>5576.5950000000003</v>
      </c>
      <c r="K89" s="69">
        <f>'CUOTA INDUSTRIAL'!N77</f>
        <v>4488.2110000000002</v>
      </c>
      <c r="L89" s="69">
        <f>'CUOTA INDUSTRIAL'!O77</f>
        <v>1088.384</v>
      </c>
      <c r="M89" s="70">
        <f>'CUOTA INDUSTRIAL'!P77</f>
        <v>0.8048300082756592</v>
      </c>
      <c r="N89" s="68" t="s">
        <v>36</v>
      </c>
      <c r="O89" s="71">
        <f>RESUMEN!$B$5</f>
        <v>44926</v>
      </c>
      <c r="P89" s="19">
        <v>2022</v>
      </c>
      <c r="Q89" s="68"/>
    </row>
    <row r="90" spans="1:17">
      <c r="A90" s="63" t="s">
        <v>30</v>
      </c>
      <c r="B90" s="64" t="s">
        <v>23</v>
      </c>
      <c r="C90" s="19" t="s">
        <v>5</v>
      </c>
      <c r="D90" s="19" t="s">
        <v>21</v>
      </c>
      <c r="E90" s="74" t="str">
        <f>+'CUOTA INDUSTRIAL'!C$79</f>
        <v xml:space="preserve">GRIMAR S.A. </v>
      </c>
      <c r="F90" s="20" t="s">
        <v>24</v>
      </c>
      <c r="G90" s="20" t="s">
        <v>25</v>
      </c>
      <c r="H90" s="21">
        <f>'CUOTA INDUSTRIAL'!E79</f>
        <v>495.44499999999999</v>
      </c>
      <c r="I90" s="21">
        <f>'CUOTA INDUSTRIAL'!F79</f>
        <v>0</v>
      </c>
      <c r="J90" s="21">
        <f>'CUOTA INDUSTRIAL'!G79</f>
        <v>495.44499999999999</v>
      </c>
      <c r="K90" s="21">
        <f>'CUOTA INDUSTRIAL'!H79</f>
        <v>50.201999999999998</v>
      </c>
      <c r="L90" s="21">
        <f>'CUOTA INDUSTRIAL'!I79</f>
        <v>445.24299999999999</v>
      </c>
      <c r="M90" s="22">
        <f>'CUOTA INDUSTRIAL'!J77</f>
        <v>1.3729952539156305E-2</v>
      </c>
      <c r="N90" s="19" t="s">
        <v>36</v>
      </c>
      <c r="O90" s="23">
        <f>RESUMEN!$B$5</f>
        <v>44926</v>
      </c>
      <c r="P90" s="19">
        <v>2022</v>
      </c>
      <c r="Q90" s="19"/>
    </row>
    <row r="91" spans="1:17">
      <c r="A91" s="63" t="s">
        <v>30</v>
      </c>
      <c r="B91" s="64" t="s">
        <v>23</v>
      </c>
      <c r="C91" s="19" t="s">
        <v>5</v>
      </c>
      <c r="D91" s="19" t="s">
        <v>21</v>
      </c>
      <c r="E91" s="74" t="str">
        <f>+'CUOTA INDUSTRIAL'!C$79</f>
        <v xml:space="preserve">GRIMAR S.A. </v>
      </c>
      <c r="F91" s="19" t="s">
        <v>26</v>
      </c>
      <c r="G91" s="19" t="s">
        <v>27</v>
      </c>
      <c r="H91" s="21">
        <f>'CUOTA INDUSTRIAL'!E80</f>
        <v>743.399</v>
      </c>
      <c r="I91" s="21">
        <f>'CUOTA INDUSTRIAL'!F80</f>
        <v>764.71144000000015</v>
      </c>
      <c r="J91" s="21">
        <f>'CUOTA INDUSTRIAL'!G80</f>
        <v>1953.3534400000001</v>
      </c>
      <c r="K91" s="21">
        <f>'CUOTA INDUSTRIAL'!H80</f>
        <v>1864.877</v>
      </c>
      <c r="L91" s="21">
        <f>'CUOTA INDUSTRIAL'!I80</f>
        <v>88.476440000000139</v>
      </c>
      <c r="M91" s="22">
        <f>'CUOTA INDUSTRIAL'!J78</f>
        <v>0.80275004979347719</v>
      </c>
      <c r="N91" s="19" t="s">
        <v>36</v>
      </c>
      <c r="O91" s="23">
        <f>RESUMEN!$B$5</f>
        <v>44926</v>
      </c>
      <c r="P91" s="19">
        <v>2022</v>
      </c>
      <c r="Q91" s="19"/>
    </row>
    <row r="92" spans="1:17" s="72" customFormat="1">
      <c r="A92" s="66" t="s">
        <v>30</v>
      </c>
      <c r="B92" s="67" t="s">
        <v>23</v>
      </c>
      <c r="C92" s="68" t="s">
        <v>5</v>
      </c>
      <c r="D92" s="68" t="s">
        <v>21</v>
      </c>
      <c r="E92" s="75" t="str">
        <f>+'CUOTA INDUSTRIAL'!C$79</f>
        <v xml:space="preserve">GRIMAR S.A. </v>
      </c>
      <c r="F92" s="68" t="s">
        <v>24</v>
      </c>
      <c r="G92" s="68" t="s">
        <v>27</v>
      </c>
      <c r="H92" s="69">
        <f>'CUOTA INDUSTRIAL'!K79</f>
        <v>1238.8440000000001</v>
      </c>
      <c r="I92" s="69">
        <f>'CUOTA INDUSTRIAL'!L79</f>
        <v>764.71144000000015</v>
      </c>
      <c r="J92" s="69">
        <f>'CUOTA INDUSTRIAL'!M79</f>
        <v>2003.5554400000001</v>
      </c>
      <c r="K92" s="69">
        <f>'CUOTA INDUSTRIAL'!N79</f>
        <v>1915.079</v>
      </c>
      <c r="L92" s="69">
        <f>'CUOTA INDUSTRIAL'!O79</f>
        <v>88.476440000000139</v>
      </c>
      <c r="M92" s="70">
        <f>'CUOTA INDUSTRIAL'!P79</f>
        <v>0.95584028361101891</v>
      </c>
      <c r="N92" s="68" t="s">
        <v>36</v>
      </c>
      <c r="O92" s="71">
        <f>RESUMEN!$B$5</f>
        <v>44926</v>
      </c>
      <c r="P92" s="19">
        <v>2022</v>
      </c>
      <c r="Q92" s="68"/>
    </row>
    <row r="93" spans="1:17">
      <c r="A93" s="63" t="s">
        <v>30</v>
      </c>
      <c r="B93" s="64" t="s">
        <v>23</v>
      </c>
      <c r="C93" s="19" t="s">
        <v>5</v>
      </c>
      <c r="D93" s="19" t="s">
        <v>21</v>
      </c>
      <c r="E93" s="74" t="str">
        <f>+'CUOTA INDUSTRIAL'!C$81</f>
        <v>PESCA CHILE S.A.</v>
      </c>
      <c r="F93" s="20" t="s">
        <v>24</v>
      </c>
      <c r="G93" s="20" t="s">
        <v>25</v>
      </c>
      <c r="H93" s="21">
        <f>'CUOTA INDUSTRIAL'!E81</f>
        <v>284.649</v>
      </c>
      <c r="I93" s="21">
        <f>'CUOTA INDUSTRIAL'!F81</f>
        <v>0</v>
      </c>
      <c r="J93" s="21">
        <f>'CUOTA INDUSTRIAL'!G81</f>
        <v>284.649</v>
      </c>
      <c r="K93" s="21">
        <f>'CUOTA INDUSTRIAL'!H81</f>
        <v>75.435999999999993</v>
      </c>
      <c r="L93" s="21">
        <f>'CUOTA INDUSTRIAL'!I81</f>
        <v>209.21300000000002</v>
      </c>
      <c r="M93" s="22">
        <f>'CUOTA INDUSTRIAL'!J79</f>
        <v>0.10132708978796839</v>
      </c>
      <c r="N93" s="19" t="s">
        <v>36</v>
      </c>
      <c r="O93" s="23">
        <f>RESUMEN!$B$5</f>
        <v>44926</v>
      </c>
      <c r="P93" s="19">
        <v>2022</v>
      </c>
      <c r="Q93" s="19"/>
    </row>
    <row r="94" spans="1:17">
      <c r="A94" s="63" t="s">
        <v>30</v>
      </c>
      <c r="B94" s="64" t="s">
        <v>23</v>
      </c>
      <c r="C94" s="19" t="s">
        <v>5</v>
      </c>
      <c r="D94" s="19" t="s">
        <v>21</v>
      </c>
      <c r="E94" s="74" t="str">
        <f>+'CUOTA INDUSTRIAL'!C$81</f>
        <v>PESCA CHILE S.A.</v>
      </c>
      <c r="F94" s="19" t="s">
        <v>26</v>
      </c>
      <c r="G94" s="19" t="s">
        <v>27</v>
      </c>
      <c r="H94" s="21">
        <f>'CUOTA INDUSTRIAL'!E82</f>
        <v>427.10599999999999</v>
      </c>
      <c r="I94" s="21">
        <f>'CUOTA INDUSTRIAL'!F82</f>
        <v>400.04600000000005</v>
      </c>
      <c r="J94" s="21">
        <f>'CUOTA INDUSTRIAL'!G82</f>
        <v>1036.365</v>
      </c>
      <c r="K94" s="21">
        <f>'CUOTA INDUSTRIAL'!H82</f>
        <v>893.70499999999993</v>
      </c>
      <c r="L94" s="21">
        <f>'CUOTA INDUSTRIAL'!I82</f>
        <v>142.66000000000008</v>
      </c>
      <c r="M94" s="22">
        <f>'CUOTA INDUSTRIAL'!J80</f>
        <v>0.9547053604390201</v>
      </c>
      <c r="N94" s="19" t="s">
        <v>36</v>
      </c>
      <c r="O94" s="23">
        <f>RESUMEN!$B$5</f>
        <v>44926</v>
      </c>
      <c r="P94" s="19">
        <v>2022</v>
      </c>
      <c r="Q94" s="19"/>
    </row>
    <row r="95" spans="1:17" s="72" customFormat="1">
      <c r="A95" s="66" t="s">
        <v>30</v>
      </c>
      <c r="B95" s="67" t="s">
        <v>23</v>
      </c>
      <c r="C95" s="68" t="s">
        <v>5</v>
      </c>
      <c r="D95" s="68" t="s">
        <v>21</v>
      </c>
      <c r="E95" s="75" t="str">
        <f>+'CUOTA INDUSTRIAL'!C$81</f>
        <v>PESCA CHILE S.A.</v>
      </c>
      <c r="F95" s="68" t="s">
        <v>24</v>
      </c>
      <c r="G95" s="68" t="s">
        <v>27</v>
      </c>
      <c r="H95" s="69">
        <f>'CUOTA INDUSTRIAL'!K81</f>
        <v>711.755</v>
      </c>
      <c r="I95" s="69">
        <f>'CUOTA INDUSTRIAL'!L81</f>
        <v>400.04600000000005</v>
      </c>
      <c r="J95" s="69">
        <f>'CUOTA INDUSTRIAL'!M81</f>
        <v>1111.8009999999999</v>
      </c>
      <c r="K95" s="69">
        <f>'CUOTA INDUSTRIAL'!N81</f>
        <v>969.14099999999996</v>
      </c>
      <c r="L95" s="69">
        <f>'CUOTA INDUSTRIAL'!O81</f>
        <v>142.65999999999997</v>
      </c>
      <c r="M95" s="70">
        <f>'CUOTA INDUSTRIAL'!P81</f>
        <v>0.87168567036726896</v>
      </c>
      <c r="N95" s="68" t="s">
        <v>36</v>
      </c>
      <c r="O95" s="71">
        <f>RESUMEN!$B$5</f>
        <v>44926</v>
      </c>
      <c r="P95" s="19">
        <v>2022</v>
      </c>
      <c r="Q95" s="68"/>
    </row>
    <row r="96" spans="1:17">
      <c r="A96" s="63" t="s">
        <v>30</v>
      </c>
      <c r="B96" s="64" t="s">
        <v>23</v>
      </c>
      <c r="C96" s="19" t="s">
        <v>5</v>
      </c>
      <c r="D96" s="19" t="s">
        <v>21</v>
      </c>
      <c r="E96" s="74" t="str">
        <f>+'CUOTA INDUSTRIAL'!C$83</f>
        <v xml:space="preserve">PESCA CISNE S.A.             </v>
      </c>
      <c r="F96" s="20" t="s">
        <v>24</v>
      </c>
      <c r="G96" s="20" t="s">
        <v>25</v>
      </c>
      <c r="H96" s="21">
        <f>'CUOTA INDUSTRIAL'!E83</f>
        <v>2.1000000000000001E-2</v>
      </c>
      <c r="I96" s="21">
        <f>'CUOTA INDUSTRIAL'!F83</f>
        <v>-5.2999999999999999E-2</v>
      </c>
      <c r="J96" s="21">
        <f>'CUOTA INDUSTRIAL'!G83</f>
        <v>-3.2000000000000001E-2</v>
      </c>
      <c r="K96" s="21">
        <f>'CUOTA INDUSTRIAL'!H83</f>
        <v>0</v>
      </c>
      <c r="L96" s="21">
        <f>'CUOTA INDUSTRIAL'!I83</f>
        <v>-3.2000000000000001E-2</v>
      </c>
      <c r="M96" s="22">
        <f>'CUOTA INDUSTRIAL'!J81</f>
        <v>0.26501410509083112</v>
      </c>
      <c r="N96" s="19" t="s">
        <v>36</v>
      </c>
      <c r="O96" s="23">
        <f>RESUMEN!$B$5</f>
        <v>44926</v>
      </c>
      <c r="P96" s="19">
        <v>2022</v>
      </c>
      <c r="Q96" s="19"/>
    </row>
    <row r="97" spans="1:17">
      <c r="A97" s="63" t="s">
        <v>30</v>
      </c>
      <c r="B97" s="64" t="s">
        <v>23</v>
      </c>
      <c r="C97" s="19" t="s">
        <v>5</v>
      </c>
      <c r="D97" s="19" t="s">
        <v>21</v>
      </c>
      <c r="E97" s="74" t="str">
        <f>+'CUOTA INDUSTRIAL'!C$83</f>
        <v xml:space="preserve">PESCA CISNE S.A.             </v>
      </c>
      <c r="F97" s="19" t="s">
        <v>26</v>
      </c>
      <c r="G97" s="19" t="s">
        <v>27</v>
      </c>
      <c r="H97" s="21">
        <f>'CUOTA INDUSTRIAL'!E84</f>
        <v>3.2000000000000001E-2</v>
      </c>
      <c r="I97" s="21">
        <f>'CUOTA INDUSTRIAL'!F84</f>
        <v>0</v>
      </c>
      <c r="J97" s="21">
        <f>'CUOTA INDUSTRIAL'!G84</f>
        <v>0</v>
      </c>
      <c r="K97" s="21">
        <f>'CUOTA INDUSTRIAL'!H84</f>
        <v>0</v>
      </c>
      <c r="L97" s="21">
        <f>'CUOTA INDUSTRIAL'!I84</f>
        <v>0</v>
      </c>
      <c r="M97" s="22">
        <f>'CUOTA INDUSTRIAL'!J82</f>
        <v>0.86234579515904142</v>
      </c>
      <c r="N97" s="19" t="s">
        <v>36</v>
      </c>
      <c r="O97" s="23">
        <f>RESUMEN!$B$5</f>
        <v>44926</v>
      </c>
      <c r="P97" s="19">
        <v>2022</v>
      </c>
      <c r="Q97" s="19"/>
    </row>
    <row r="98" spans="1:17" s="72" customFormat="1">
      <c r="A98" s="66" t="s">
        <v>30</v>
      </c>
      <c r="B98" s="67" t="s">
        <v>23</v>
      </c>
      <c r="C98" s="68" t="s">
        <v>5</v>
      </c>
      <c r="D98" s="68" t="s">
        <v>21</v>
      </c>
      <c r="E98" s="75" t="str">
        <f>+'CUOTA INDUSTRIAL'!C$83</f>
        <v xml:space="preserve">PESCA CISNE S.A.             </v>
      </c>
      <c r="F98" s="68" t="s">
        <v>24</v>
      </c>
      <c r="G98" s="68" t="s">
        <v>27</v>
      </c>
      <c r="H98" s="69">
        <f>'CUOTA INDUSTRIAL'!K83</f>
        <v>5.3000000000000005E-2</v>
      </c>
      <c r="I98" s="69">
        <f>'CUOTA INDUSTRIAL'!L83</f>
        <v>-5.2999999999999999E-2</v>
      </c>
      <c r="J98" s="69">
        <f>'CUOTA INDUSTRIAL'!M83</f>
        <v>0</v>
      </c>
      <c r="K98" s="69">
        <f>'CUOTA INDUSTRIAL'!N83</f>
        <v>0</v>
      </c>
      <c r="L98" s="69">
        <f>'CUOTA INDUSTRIAL'!O83</f>
        <v>0</v>
      </c>
      <c r="M98" s="70">
        <f>'CUOTA INDUSTRIAL'!J83</f>
        <v>0</v>
      </c>
      <c r="N98" s="68" t="s">
        <v>36</v>
      </c>
      <c r="O98" s="71">
        <f>RESUMEN!$B$5</f>
        <v>44926</v>
      </c>
      <c r="P98" s="19">
        <v>2022</v>
      </c>
      <c r="Q98" s="68"/>
    </row>
    <row r="99" spans="1:17">
      <c r="A99" s="63" t="s">
        <v>30</v>
      </c>
      <c r="B99" s="64" t="s">
        <v>23</v>
      </c>
      <c r="C99" s="19" t="s">
        <v>5</v>
      </c>
      <c r="D99" s="19" t="s">
        <v>21</v>
      </c>
      <c r="E99" s="74" t="str">
        <f>+'CUOTA INDUSTRIAL'!C$85</f>
        <v>SUR AUSTRAL S.A. PESQ.</v>
      </c>
      <c r="F99" s="20" t="s">
        <v>24</v>
      </c>
      <c r="G99" s="20" t="s">
        <v>25</v>
      </c>
      <c r="H99" s="21">
        <f>'CUOTA INDUSTRIAL'!E85</f>
        <v>496.87</v>
      </c>
      <c r="I99" s="21">
        <f>'CUOTA INDUSTRIAL'!F85</f>
        <v>0</v>
      </c>
      <c r="J99" s="21">
        <f>'CUOTA INDUSTRIAL'!G85</f>
        <v>496.87</v>
      </c>
      <c r="K99" s="21">
        <f>'CUOTA INDUSTRIAL'!H85</f>
        <v>14.131</v>
      </c>
      <c r="L99" s="21">
        <f>'CUOTA INDUSTRIAL'!I85</f>
        <v>482.73900000000003</v>
      </c>
      <c r="M99" s="22">
        <f>'CUOTA INDUSTRIAL'!J83</f>
        <v>0</v>
      </c>
      <c r="N99" s="19" t="s">
        <v>36</v>
      </c>
      <c r="O99" s="23">
        <f>RESUMEN!$B$5</f>
        <v>44926</v>
      </c>
      <c r="P99" s="19">
        <v>2022</v>
      </c>
      <c r="Q99" s="19"/>
    </row>
    <row r="100" spans="1:17">
      <c r="A100" s="63" t="s">
        <v>30</v>
      </c>
      <c r="B100" s="64" t="s">
        <v>23</v>
      </c>
      <c r="C100" s="19" t="s">
        <v>5</v>
      </c>
      <c r="D100" s="19" t="s">
        <v>21</v>
      </c>
      <c r="E100" s="74" t="str">
        <f>+'CUOTA INDUSTRIAL'!C$85</f>
        <v>SUR AUSTRAL S.A. PESQ.</v>
      </c>
      <c r="F100" s="19" t="s">
        <v>26</v>
      </c>
      <c r="G100" s="19" t="s">
        <v>27</v>
      </c>
      <c r="H100" s="21">
        <f>'CUOTA INDUSTRIAL'!E86</f>
        <v>745.53700000000003</v>
      </c>
      <c r="I100" s="21">
        <f>'CUOTA INDUSTRIAL'!F86</f>
        <v>1149.81682</v>
      </c>
      <c r="J100" s="21">
        <f>'CUOTA INDUSTRIAL'!G86</f>
        <v>2378.0928199999998</v>
      </c>
      <c r="K100" s="21">
        <f>'CUOTA INDUSTRIAL'!H86</f>
        <v>2284.7370000000001</v>
      </c>
      <c r="L100" s="21">
        <f>'CUOTA INDUSTRIAL'!I86</f>
        <v>93.355819999999767</v>
      </c>
      <c r="M100" s="22">
        <f>'CUOTA INDUSTRIAL'!J84</f>
        <v>0</v>
      </c>
      <c r="N100" s="19" t="s">
        <v>36</v>
      </c>
      <c r="O100" s="23">
        <f>RESUMEN!$B$5</f>
        <v>44926</v>
      </c>
      <c r="P100" s="19">
        <v>2022</v>
      </c>
      <c r="Q100" s="19"/>
    </row>
    <row r="101" spans="1:17" s="72" customFormat="1">
      <c r="A101" s="66" t="s">
        <v>30</v>
      </c>
      <c r="B101" s="67" t="s">
        <v>23</v>
      </c>
      <c r="C101" s="68" t="s">
        <v>5</v>
      </c>
      <c r="D101" s="68" t="s">
        <v>21</v>
      </c>
      <c r="E101" s="75" t="str">
        <f>+'CUOTA INDUSTRIAL'!C$85</f>
        <v>SUR AUSTRAL S.A. PESQ.</v>
      </c>
      <c r="F101" s="68" t="s">
        <v>24</v>
      </c>
      <c r="G101" s="68" t="s">
        <v>27</v>
      </c>
      <c r="H101" s="69">
        <f>'CUOTA INDUSTRIAL'!K85</f>
        <v>1242.4070000000002</v>
      </c>
      <c r="I101" s="69">
        <f>'CUOTA INDUSTRIAL'!L85</f>
        <v>1149.81682</v>
      </c>
      <c r="J101" s="69">
        <f>'CUOTA INDUSTRIAL'!M85</f>
        <v>2392.2238200000002</v>
      </c>
      <c r="K101" s="69">
        <f>'CUOTA INDUSTRIAL'!N85</f>
        <v>2298.8679999999999</v>
      </c>
      <c r="L101" s="69">
        <f>'CUOTA INDUSTRIAL'!O85</f>
        <v>93.355820000000222</v>
      </c>
      <c r="M101" s="70">
        <f>'CUOTA INDUSTRIAL'!J85</f>
        <v>2.8440034616700544E-2</v>
      </c>
      <c r="N101" s="68" t="s">
        <v>36</v>
      </c>
      <c r="O101" s="71">
        <f>RESUMEN!$B$5</f>
        <v>44926</v>
      </c>
      <c r="P101" s="19">
        <v>2022</v>
      </c>
      <c r="Q101" s="68"/>
    </row>
    <row r="102" spans="1:17">
      <c r="A102" s="63" t="s">
        <v>30</v>
      </c>
      <c r="B102" s="64" t="s">
        <v>23</v>
      </c>
      <c r="C102" s="19" t="s">
        <v>5</v>
      </c>
      <c r="D102" s="19" t="s">
        <v>28</v>
      </c>
      <c r="E102" s="74" t="s">
        <v>29</v>
      </c>
      <c r="F102" s="20" t="s">
        <v>24</v>
      </c>
      <c r="G102" s="20" t="s">
        <v>27</v>
      </c>
      <c r="H102" s="21">
        <f>'CUOTA INDUSTRIAL'!K87</f>
        <v>5350.9750000000004</v>
      </c>
      <c r="I102" s="21">
        <f>'CUOTA INDUSTRIAL'!L87</f>
        <v>5733.2002600000005</v>
      </c>
      <c r="J102" s="21">
        <f>'CUOTA INDUSTRIAL'!M87</f>
        <v>11084.17526</v>
      </c>
      <c r="K102" s="21">
        <f>'CUOTA INDUSTRIAL'!N87</f>
        <v>9671.2989999999991</v>
      </c>
      <c r="L102" s="21">
        <f>'CUOTA INDUSTRIAL'!O87</f>
        <v>1412.8762600000009</v>
      </c>
      <c r="M102" s="21">
        <f>'CUOTA INDUSTRIAL'!P87</f>
        <v>0.87253212558820537</v>
      </c>
      <c r="N102" s="19" t="s">
        <v>36</v>
      </c>
      <c r="O102" s="23">
        <f>RESUMEN!$B$5</f>
        <v>44926</v>
      </c>
      <c r="P102" s="19">
        <v>2022</v>
      </c>
      <c r="Q102" s="19"/>
    </row>
    <row r="103" spans="1:17">
      <c r="A103" s="63" t="s">
        <v>32</v>
      </c>
      <c r="B103" s="64" t="s">
        <v>23</v>
      </c>
      <c r="C103" s="19" t="s">
        <v>33</v>
      </c>
      <c r="D103" s="19" t="s">
        <v>34</v>
      </c>
      <c r="E103" s="27" t="s">
        <v>35</v>
      </c>
      <c r="F103" s="20" t="s">
        <v>24</v>
      </c>
      <c r="G103" s="20" t="s">
        <v>27</v>
      </c>
      <c r="H103" s="21">
        <f>'ARTESANAL-INDUSTRIAL'!E13</f>
        <v>31</v>
      </c>
      <c r="I103" s="21">
        <f>'ARTESANAL-INDUSTRIAL'!F13</f>
        <v>0</v>
      </c>
      <c r="J103" s="21">
        <f>'ARTESANAL-INDUSTRIAL'!G13</f>
        <v>31</v>
      </c>
      <c r="K103" s="21">
        <f>'ARTESANAL-INDUSTRIAL'!H13</f>
        <v>0</v>
      </c>
      <c r="L103" s="21">
        <f>'ARTESANAL-INDUSTRIAL'!I13</f>
        <v>31</v>
      </c>
      <c r="M103" s="22">
        <f>'ARTESANAL-INDUSTRIAL'!J13</f>
        <v>0</v>
      </c>
      <c r="N103" s="19" t="s">
        <v>36</v>
      </c>
      <c r="O103" s="23">
        <f>RESUMEN!$B$5</f>
        <v>44926</v>
      </c>
      <c r="P103" s="19">
        <v>2022</v>
      </c>
      <c r="Q103" s="19"/>
    </row>
  </sheetData>
  <autoFilter ref="A1:Q103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39</v>
      </c>
      <c r="C2" s="8" t="s">
        <v>40</v>
      </c>
    </row>
    <row r="3" spans="2:11">
      <c r="B3" s="5" t="s">
        <v>41</v>
      </c>
      <c r="C3" s="6">
        <v>9339</v>
      </c>
      <c r="D3" s="142">
        <f>C3+C4</f>
        <v>23348</v>
      </c>
    </row>
    <row r="4" spans="2:11" ht="15.75" thickBot="1">
      <c r="B4" s="4" t="s">
        <v>42</v>
      </c>
      <c r="C4" s="3">
        <v>14009</v>
      </c>
      <c r="D4" s="143"/>
    </row>
    <row r="5" spans="2:11">
      <c r="B5" s="5" t="s">
        <v>43</v>
      </c>
      <c r="C5" s="6">
        <v>6226</v>
      </c>
      <c r="D5" s="142">
        <f>C5+C6</f>
        <v>15566</v>
      </c>
    </row>
    <row r="6" spans="2:11" ht="15.75" thickBot="1">
      <c r="B6" s="4" t="s">
        <v>44</v>
      </c>
      <c r="C6" s="3">
        <v>9340</v>
      </c>
      <c r="D6" s="143"/>
    </row>
    <row r="7" spans="2:11" ht="15.75" thickBot="1">
      <c r="C7" s="7">
        <f>SUM(C3:C6)</f>
        <v>38914</v>
      </c>
    </row>
    <row r="10" spans="2:11">
      <c r="B10" s="141" t="s">
        <v>45</v>
      </c>
      <c r="C10" s="141"/>
      <c r="D10" s="141"/>
      <c r="E10" s="141"/>
      <c r="F10" s="141"/>
    </row>
    <row r="12" spans="2:11">
      <c r="B12" s="2" t="s">
        <v>46</v>
      </c>
      <c r="C12" s="2" t="s">
        <v>37</v>
      </c>
      <c r="D12" s="2" t="s">
        <v>47</v>
      </c>
      <c r="E12" s="2" t="s">
        <v>48</v>
      </c>
      <c r="F12" s="2" t="s">
        <v>49</v>
      </c>
      <c r="H12" s="14" t="s">
        <v>21</v>
      </c>
      <c r="I12" s="2" t="s">
        <v>47</v>
      </c>
      <c r="J12" s="2" t="s">
        <v>48</v>
      </c>
    </row>
    <row r="13" spans="2:11">
      <c r="B13" s="1" t="s">
        <v>50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51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52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51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51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53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54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51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51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55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56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57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58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59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60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61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62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63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51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64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65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66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67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77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141" t="s">
        <v>68</v>
      </c>
      <c r="C39" s="141"/>
      <c r="D39" s="141"/>
      <c r="E39" s="141"/>
      <c r="F39" s="141"/>
    </row>
    <row r="41" spans="2:6">
      <c r="B41" s="2" t="s">
        <v>46</v>
      </c>
      <c r="C41" s="2" t="s">
        <v>37</v>
      </c>
      <c r="D41" s="2" t="s">
        <v>47</v>
      </c>
      <c r="E41" s="2" t="s">
        <v>48</v>
      </c>
      <c r="F41" s="2" t="s">
        <v>49</v>
      </c>
    </row>
    <row r="42" spans="2:6">
      <c r="B42" s="1" t="s">
        <v>69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61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54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63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66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64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141" t="s">
        <v>70</v>
      </c>
      <c r="C52" s="141"/>
      <c r="D52" s="141"/>
      <c r="E52" s="141"/>
      <c r="F52" s="141"/>
    </row>
    <row r="54" spans="2:6">
      <c r="B54" s="11" t="s">
        <v>71</v>
      </c>
      <c r="C54" s="11" t="s">
        <v>72</v>
      </c>
    </row>
    <row r="55" spans="2:6">
      <c r="B55" s="1" t="s">
        <v>33</v>
      </c>
      <c r="C55" s="1">
        <v>95</v>
      </c>
    </row>
    <row r="56" spans="2:6">
      <c r="B56" s="1" t="s">
        <v>73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ARTESANAL-INDUSTRIAL</vt:lpstr>
      <vt:lpstr>CUOTA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CEA TELLO, MARIO ANDRES</cp:lastModifiedBy>
  <dcterms:created xsi:type="dcterms:W3CDTF">2018-02-13T19:46:54Z</dcterms:created>
  <dcterms:modified xsi:type="dcterms:W3CDTF">2023-03-10T16:26:39Z</dcterms:modified>
</cp:coreProperties>
</file>