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eseo\Proceso_de_Control_de_Cuotas\1_PLANILLAS CONTROL DE CUOTAS\2021\3.- Demersales\Rayas 2021\"/>
    </mc:Choice>
  </mc:AlternateContent>
  <bookViews>
    <workbookView xWindow="2805" yWindow="105" windowWidth="10215" windowHeight="10815"/>
  </bookViews>
  <sheets>
    <sheet name="RESUMEN" sheetId="4" r:id="rId1"/>
    <sheet name="ARTESANAL" sheetId="1" r:id="rId2"/>
    <sheet name="INDUSTRIAL" sheetId="5" r:id="rId3"/>
    <sheet name="Hoja1" sheetId="3" state="hidden" r:id="rId4"/>
    <sheet name="Compliado web" sheetId="2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2" l="1"/>
  <c r="K17" i="2"/>
  <c r="J17" i="2"/>
  <c r="I17" i="2"/>
  <c r="I16" i="2"/>
  <c r="H17" i="2"/>
  <c r="H16" i="2"/>
  <c r="H15" i="2"/>
  <c r="H24" i="1"/>
  <c r="J16" i="2" s="1"/>
  <c r="H22" i="1"/>
  <c r="K22" i="1" s="1"/>
  <c r="K24" i="1" l="1"/>
  <c r="M17" i="2" s="1"/>
  <c r="J15" i="2"/>
  <c r="J22" i="1"/>
  <c r="J24" i="1"/>
  <c r="L16" i="2" s="1"/>
  <c r="E20" i="4"/>
  <c r="H12" i="4"/>
  <c r="H13" i="4"/>
  <c r="F12" i="4"/>
  <c r="F13" i="4"/>
  <c r="E13" i="4"/>
  <c r="E12" i="4"/>
  <c r="K7" i="2"/>
  <c r="K8" i="2"/>
  <c r="I7" i="2"/>
  <c r="I8" i="2"/>
  <c r="H8" i="2"/>
  <c r="H7" i="2"/>
  <c r="H12" i="1"/>
  <c r="K12" i="1" s="1"/>
  <c r="M7" i="2" s="1"/>
  <c r="H13" i="1"/>
  <c r="M16" i="2" l="1"/>
  <c r="M15" i="2"/>
  <c r="L15" i="2"/>
  <c r="J13" i="1"/>
  <c r="L8" i="2" s="1"/>
  <c r="K13" i="1"/>
  <c r="M8" i="2" s="1"/>
  <c r="J7" i="2"/>
  <c r="J12" i="1"/>
  <c r="L7" i="2" s="1"/>
  <c r="J8" i="2"/>
  <c r="L17" i="2"/>
  <c r="G12" i="4"/>
  <c r="I12" i="4" s="1"/>
  <c r="G13" i="4"/>
  <c r="I13" i="4" s="1"/>
  <c r="I18" i="2"/>
  <c r="I15" i="2"/>
  <c r="I14" i="2"/>
  <c r="I13" i="2"/>
  <c r="L14" i="2"/>
  <c r="H25" i="4"/>
  <c r="H29" i="1"/>
  <c r="K29" i="1" s="1"/>
  <c r="I8" i="5"/>
  <c r="F17" i="1"/>
  <c r="H16" i="1"/>
  <c r="E17" i="4"/>
  <c r="F17" i="4"/>
  <c r="H17" i="4"/>
  <c r="J29" i="1" l="1"/>
  <c r="J16" i="1"/>
  <c r="I17" i="4" s="1"/>
  <c r="K16" i="1"/>
  <c r="J13" i="4"/>
  <c r="J12" i="4"/>
  <c r="M14" i="2"/>
  <c r="G17" i="4"/>
  <c r="J17" i="4" s="1"/>
  <c r="K18" i="2"/>
  <c r="K15" i="2"/>
  <c r="K14" i="2"/>
  <c r="K13" i="2"/>
  <c r="K12" i="2"/>
  <c r="I12" i="2"/>
  <c r="H14" i="2"/>
  <c r="H13" i="2"/>
  <c r="H12" i="2"/>
  <c r="I10" i="2"/>
  <c r="K10" i="2"/>
  <c r="H10" i="2"/>
  <c r="I2" i="2"/>
  <c r="K2" i="2"/>
  <c r="I3" i="2"/>
  <c r="K3" i="2"/>
  <c r="I4" i="2"/>
  <c r="K4" i="2"/>
  <c r="I5" i="2"/>
  <c r="K5" i="2"/>
  <c r="I6" i="2"/>
  <c r="K6" i="2"/>
  <c r="I9" i="2"/>
  <c r="K9" i="2"/>
  <c r="H3" i="2"/>
  <c r="H4" i="2"/>
  <c r="H5" i="2"/>
  <c r="H6" i="2"/>
  <c r="H9" i="2"/>
  <c r="E5" i="2"/>
  <c r="E6" i="2"/>
  <c r="E9" i="2"/>
  <c r="E3" i="2"/>
  <c r="E4" i="2"/>
  <c r="E2" i="2"/>
  <c r="C3" i="2"/>
  <c r="C4" i="2"/>
  <c r="C5" i="2"/>
  <c r="C6" i="2"/>
  <c r="C9" i="2"/>
  <c r="C2" i="2"/>
  <c r="C4" i="1"/>
  <c r="O16" i="2" s="1"/>
  <c r="P16" i="2" s="1"/>
  <c r="C4" i="5"/>
  <c r="F13" i="5"/>
  <c r="F14" i="5" s="1"/>
  <c r="H26" i="4"/>
  <c r="H19" i="4"/>
  <c r="H29" i="4"/>
  <c r="H11" i="1"/>
  <c r="H28" i="4"/>
  <c r="F28" i="4"/>
  <c r="F29" i="4"/>
  <c r="D29" i="4"/>
  <c r="D28" i="4"/>
  <c r="H23" i="4"/>
  <c r="H20" i="4"/>
  <c r="J11" i="1" l="1"/>
  <c r="L6" i="2" s="1"/>
  <c r="K11" i="1"/>
  <c r="I19" i="2"/>
  <c r="O17" i="2"/>
  <c r="P17" i="2" s="1"/>
  <c r="O7" i="2"/>
  <c r="P7" i="2" s="1"/>
  <c r="O8" i="2"/>
  <c r="P8" i="2" s="1"/>
  <c r="E29" i="4"/>
  <c r="H18" i="2"/>
  <c r="H19" i="2" s="1"/>
  <c r="K19" i="2"/>
  <c r="J13" i="2"/>
  <c r="M13" i="2"/>
  <c r="J14" i="2"/>
  <c r="O15" i="2"/>
  <c r="P15" i="2" s="1"/>
  <c r="M6" i="2"/>
  <c r="L13" i="2"/>
  <c r="J6" i="2"/>
  <c r="O14" i="2"/>
  <c r="P14" i="2" s="1"/>
  <c r="O13" i="2"/>
  <c r="P13" i="2" s="1"/>
  <c r="F30" i="4"/>
  <c r="K11" i="2"/>
  <c r="H24" i="4"/>
  <c r="H30" i="4"/>
  <c r="F24" i="4"/>
  <c r="F25" i="4"/>
  <c r="F27" i="4"/>
  <c r="F23" i="4"/>
  <c r="F20" i="4"/>
  <c r="G20" i="4" s="1"/>
  <c r="F19" i="4"/>
  <c r="E26" i="4"/>
  <c r="E25" i="4"/>
  <c r="E23" i="4"/>
  <c r="E19" i="4"/>
  <c r="D20" i="4"/>
  <c r="D21" i="4"/>
  <c r="D22" i="4"/>
  <c r="D23" i="4"/>
  <c r="D19" i="4"/>
  <c r="F16" i="4"/>
  <c r="H16" i="4"/>
  <c r="E16" i="4"/>
  <c r="H8" i="4"/>
  <c r="H9" i="4"/>
  <c r="H10" i="4"/>
  <c r="H11" i="4"/>
  <c r="H14" i="4"/>
  <c r="H7" i="4"/>
  <c r="F10" i="4"/>
  <c r="F7" i="4"/>
  <c r="F8" i="4"/>
  <c r="F9" i="4"/>
  <c r="F11" i="4"/>
  <c r="F14" i="4"/>
  <c r="E8" i="4"/>
  <c r="G8" i="4" s="1"/>
  <c r="E9" i="4"/>
  <c r="E10" i="4"/>
  <c r="E11" i="4"/>
  <c r="E14" i="4"/>
  <c r="E7" i="4"/>
  <c r="D11" i="4"/>
  <c r="D14" i="4"/>
  <c r="D8" i="4"/>
  <c r="D9" i="4"/>
  <c r="D10" i="4"/>
  <c r="D7" i="4"/>
  <c r="H13" i="5"/>
  <c r="J18" i="2" s="1"/>
  <c r="I14" i="5"/>
  <c r="F30" i="1"/>
  <c r="G14" i="5"/>
  <c r="I9" i="5"/>
  <c r="G9" i="5"/>
  <c r="F9" i="5"/>
  <c r="H8" i="5"/>
  <c r="K8" i="5" s="1"/>
  <c r="H7" i="5"/>
  <c r="O10" i="2"/>
  <c r="P10" i="2" s="1"/>
  <c r="O12" i="2"/>
  <c r="P12" i="2" s="1"/>
  <c r="O3" i="2"/>
  <c r="P3" i="2" s="1"/>
  <c r="O4" i="2"/>
  <c r="P4" i="2" s="1"/>
  <c r="O5" i="2"/>
  <c r="P5" i="2" s="1"/>
  <c r="H8" i="1"/>
  <c r="K8" i="1" s="1"/>
  <c r="H9" i="1"/>
  <c r="K9" i="1" s="1"/>
  <c r="H10" i="1"/>
  <c r="K10" i="1" s="1"/>
  <c r="H15" i="1"/>
  <c r="K15" i="1" s="1"/>
  <c r="G9" i="4" l="1"/>
  <c r="E15" i="4"/>
  <c r="G29" i="4"/>
  <c r="I29" i="4" s="1"/>
  <c r="G16" i="4"/>
  <c r="J16" i="4" s="1"/>
  <c r="J19" i="2"/>
  <c r="L19" i="2" s="1"/>
  <c r="H15" i="4"/>
  <c r="H18" i="4" s="1"/>
  <c r="J20" i="4"/>
  <c r="I20" i="4"/>
  <c r="M4" i="2"/>
  <c r="J4" i="2"/>
  <c r="M3" i="2"/>
  <c r="J3" i="2"/>
  <c r="H9" i="5"/>
  <c r="J9" i="5" s="1"/>
  <c r="E28" i="4"/>
  <c r="E30" i="4" s="1"/>
  <c r="H14" i="5"/>
  <c r="E24" i="4"/>
  <c r="E27" i="4" s="1"/>
  <c r="M5" i="2"/>
  <c r="J5" i="2"/>
  <c r="K7" i="5"/>
  <c r="M10" i="2" s="1"/>
  <c r="J10" i="2"/>
  <c r="G23" i="4"/>
  <c r="I23" i="4" s="1"/>
  <c r="H27" i="4"/>
  <c r="K13" i="5"/>
  <c r="M18" i="2" s="1"/>
  <c r="J13" i="5"/>
  <c r="G19" i="4"/>
  <c r="I19" i="4" s="1"/>
  <c r="G25" i="4"/>
  <c r="I25" i="4" s="1"/>
  <c r="G11" i="4"/>
  <c r="I11" i="4" s="1"/>
  <c r="G14" i="4"/>
  <c r="I14" i="4" s="1"/>
  <c r="G10" i="4"/>
  <c r="I10" i="4" s="1"/>
  <c r="F18" i="4"/>
  <c r="F31" i="4" s="1"/>
  <c r="G7" i="4"/>
  <c r="F15" i="4"/>
  <c r="I8" i="4"/>
  <c r="J8" i="4"/>
  <c r="J9" i="4"/>
  <c r="I9" i="4"/>
  <c r="J8" i="5"/>
  <c r="J7" i="5"/>
  <c r="L10" i="2" s="1"/>
  <c r="J9" i="1"/>
  <c r="L4" i="2" s="1"/>
  <c r="J10" i="1"/>
  <c r="L5" i="2" s="1"/>
  <c r="J8" i="1"/>
  <c r="L3" i="2" s="1"/>
  <c r="J15" i="1"/>
  <c r="I16" i="4" s="1"/>
  <c r="W8" i="3"/>
  <c r="U10" i="3"/>
  <c r="T10" i="3"/>
  <c r="V9" i="3"/>
  <c r="X9" i="3" s="1"/>
  <c r="V8" i="3"/>
  <c r="V7" i="3"/>
  <c r="Y7" i="3" s="1"/>
  <c r="V6" i="3"/>
  <c r="Y6" i="3" s="1"/>
  <c r="V5" i="3"/>
  <c r="X5" i="3" s="1"/>
  <c r="G19" i="3"/>
  <c r="F19" i="3"/>
  <c r="H18" i="3"/>
  <c r="K18" i="3" s="1"/>
  <c r="I17" i="3"/>
  <c r="H17" i="3"/>
  <c r="H16" i="3"/>
  <c r="K16" i="3" s="1"/>
  <c r="H15" i="3"/>
  <c r="J15" i="3" s="1"/>
  <c r="H14" i="3"/>
  <c r="K14" i="3" s="1"/>
  <c r="F8" i="3"/>
  <c r="E8" i="3"/>
  <c r="G7" i="3"/>
  <c r="G6" i="3"/>
  <c r="I6" i="3" s="1"/>
  <c r="J17" i="3" l="1"/>
  <c r="V10" i="3"/>
  <c r="J29" i="4"/>
  <c r="E18" i="4"/>
  <c r="E31" i="4" s="1"/>
  <c r="G15" i="4"/>
  <c r="I15" i="4" s="1"/>
  <c r="M19" i="2"/>
  <c r="J14" i="5"/>
  <c r="K14" i="5"/>
  <c r="J25" i="4"/>
  <c r="G28" i="4"/>
  <c r="I28" i="4" s="1"/>
  <c r="G30" i="4"/>
  <c r="G24" i="4"/>
  <c r="I24" i="4" s="1"/>
  <c r="G27" i="4"/>
  <c r="I27" i="4" s="1"/>
  <c r="Y8" i="3"/>
  <c r="J19" i="4"/>
  <c r="L18" i="2"/>
  <c r="J23" i="4"/>
  <c r="H31" i="4"/>
  <c r="J14" i="4"/>
  <c r="J11" i="4"/>
  <c r="J10" i="4"/>
  <c r="I7" i="4"/>
  <c r="J7" i="4"/>
  <c r="K9" i="5"/>
  <c r="Y5" i="3"/>
  <c r="J14" i="3"/>
  <c r="G8" i="3"/>
  <c r="Y9" i="3"/>
  <c r="H19" i="3"/>
  <c r="X7" i="3"/>
  <c r="X8" i="3"/>
  <c r="W10" i="3"/>
  <c r="Y10" i="3" s="1"/>
  <c r="K17" i="3"/>
  <c r="X6" i="3"/>
  <c r="K15" i="3"/>
  <c r="J18" i="3"/>
  <c r="J16" i="3"/>
  <c r="I19" i="3"/>
  <c r="J6" i="3"/>
  <c r="J7" i="3"/>
  <c r="I7" i="3"/>
  <c r="H8" i="3"/>
  <c r="G18" i="4" l="1"/>
  <c r="I18" i="4" s="1"/>
  <c r="I30" i="4"/>
  <c r="J30" i="4"/>
  <c r="J27" i="4"/>
  <c r="J24" i="4"/>
  <c r="J28" i="4"/>
  <c r="G31" i="4"/>
  <c r="I31" i="4" s="1"/>
  <c r="J15" i="4"/>
  <c r="J8" i="3"/>
  <c r="K19" i="3"/>
  <c r="X10" i="3"/>
  <c r="J19" i="3"/>
  <c r="I8" i="3"/>
  <c r="O6" i="2"/>
  <c r="P6" i="2" s="1"/>
  <c r="O9" i="2"/>
  <c r="P9" i="2" s="1"/>
  <c r="O11" i="2"/>
  <c r="P11" i="2" s="1"/>
  <c r="O18" i="2"/>
  <c r="P18" i="2" s="1"/>
  <c r="O19" i="2"/>
  <c r="P19" i="2" s="1"/>
  <c r="O2" i="2"/>
  <c r="P2" i="2" s="1"/>
  <c r="J18" i="4" l="1"/>
  <c r="J31" i="4"/>
  <c r="N2" i="2"/>
  <c r="H2" i="2"/>
  <c r="H11" i="2" s="1"/>
  <c r="I11" i="2" l="1"/>
  <c r="J11" i="2" s="1"/>
  <c r="H7" i="1"/>
  <c r="K7" i="1" s="1"/>
  <c r="J7" i="1" l="1"/>
  <c r="L2" i="2" s="1"/>
  <c r="J2" i="2"/>
  <c r="L11" i="2"/>
  <c r="M11" i="2"/>
  <c r="I30" i="1"/>
  <c r="G30" i="1"/>
  <c r="F26" i="4" s="1"/>
  <c r="G26" i="4" s="1"/>
  <c r="I26" i="4" s="1"/>
  <c r="H27" i="1"/>
  <c r="I17" i="1"/>
  <c r="G17" i="1"/>
  <c r="H17" i="1" s="1"/>
  <c r="H14" i="1"/>
  <c r="J9" i="2" l="1"/>
  <c r="K14" i="1"/>
  <c r="M9" i="2" s="1"/>
  <c r="K27" i="1"/>
  <c r="J27" i="1"/>
  <c r="J26" i="4"/>
  <c r="J14" i="1"/>
  <c r="L9" i="2" s="1"/>
  <c r="J17" i="1"/>
  <c r="M2" i="2"/>
  <c r="K17" i="1" l="1"/>
  <c r="H21" i="1" l="1"/>
  <c r="K21" i="1" s="1"/>
  <c r="J12" i="2" l="1"/>
  <c r="J21" i="1"/>
  <c r="L12" i="2" s="1"/>
  <c r="H30" i="1"/>
  <c r="M12" i="2"/>
  <c r="K30" i="1" l="1"/>
  <c r="J30" i="1"/>
</calcChain>
</file>

<file path=xl/comments1.xml><?xml version="1.0" encoding="utf-8"?>
<comments xmlns="http://schemas.openxmlformats.org/spreadsheetml/2006/main">
  <authors>
    <author>nperez</author>
    <author>MOLINA SAN MARTIN, KAMILA FERNANDA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Folio DEXE202100051.</t>
        </r>
      </text>
    </comment>
    <comment ref="C7" authorId="1" shapeId="0">
      <text>
        <r>
          <rPr>
            <b/>
            <sz val="9"/>
            <color indexed="81"/>
            <rFont val="Tahoma"/>
            <family val="2"/>
          </rPr>
          <t>MOLINA SAN MARTIN, KAMILA FERNANDA:</t>
        </r>
        <r>
          <rPr>
            <sz val="9"/>
            <color indexed="81"/>
            <rFont val="Tahoma"/>
            <family val="2"/>
          </rPr>
          <t xml:space="preserve">
498-21 Establece periodo de captura ente IV y XII. 15 al 30 abril
1010-21 Modifica 498-21 entre la IV-XII. 15 al 30 agosto
51-21 Establece captura anual
</t>
        </r>
        <r>
          <rPr>
            <b/>
            <sz val="9"/>
            <color indexed="81"/>
            <rFont val="Tahoma"/>
            <family val="2"/>
          </rPr>
          <t>2199-21 Modifica 498-21 entre IV-XII. 15 y 22 octubre</t>
        </r>
        <r>
          <rPr>
            <sz val="9"/>
            <color indexed="81"/>
            <rFont val="Tahoma"/>
            <family val="2"/>
          </rPr>
          <t xml:space="preserve">
2205-21 Distribución cuota artesanal entre XVI, VIII, IX y XIV
</t>
        </r>
        <r>
          <rPr>
            <b/>
            <sz val="9"/>
            <color indexed="81"/>
            <rFont val="Tahoma"/>
            <family val="2"/>
          </rPr>
          <t>2341-21 Modifica 498-21 entre IX y XIV (23 agosto al 30 noviembre), XVI y VIII (01 septiembre al 30 noviembre)
2688-21 Distribución cuota artesanal X a XII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Folio DEXE202100051.</t>
        </r>
      </text>
    </comment>
    <comment ref="C21" authorId="1" shapeId="0">
      <text>
        <r>
          <rPr>
            <b/>
            <sz val="9"/>
            <color indexed="81"/>
            <rFont val="Tahoma"/>
            <family val="2"/>
          </rPr>
          <t>MOLINA SAN MARTIN, KAMILA FERNANDA:</t>
        </r>
        <r>
          <rPr>
            <sz val="9"/>
            <color indexed="81"/>
            <rFont val="Tahoma"/>
            <family val="2"/>
          </rPr>
          <t xml:space="preserve">
498-21 Establece periodo de captura ente IV y XII. 15 al 30 abril
1010-21 Modifica 498-21 entre la IV-XII. 15 al 30 agosto
51-21 Establece captura anual
</t>
        </r>
        <r>
          <rPr>
            <b/>
            <sz val="9"/>
            <color indexed="81"/>
            <rFont val="Tahoma"/>
            <family val="2"/>
          </rPr>
          <t>2199-21 Modifica 498-21 entre IV-XII. 15 y 22 octubre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2341-21 Modifica 498-21 entre IX y XIV (23 agosto al 30 noviembre), XVI y VIII (01 septiembre al 30 noviembre)</t>
        </r>
      </text>
    </comment>
  </commentList>
</comments>
</file>

<file path=xl/comments2.xml><?xml version="1.0" encoding="utf-8"?>
<comments xmlns="http://schemas.openxmlformats.org/spreadsheetml/2006/main">
  <authors>
    <author>MOLINA SAN MARTIN, KAMILA FERNANDA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MOLINA SAN MARTIN, KAMILA FERNANDA:</t>
        </r>
        <r>
          <rPr>
            <sz val="9"/>
            <color indexed="81"/>
            <rFont val="Tahoma"/>
            <family val="2"/>
          </rPr>
          <t xml:space="preserve">
51-21 Establece captura anual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MOLINA SAN MARTIN, KAMILA FERNANDA:</t>
        </r>
        <r>
          <rPr>
            <sz val="9"/>
            <color indexed="81"/>
            <rFont val="Tahoma"/>
            <family val="2"/>
          </rPr>
          <t xml:space="preserve">
Puede capturar hasta el 1% medido en peso en relación a la especie objetivo y viaje de pesca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MOLINA SAN MARTIN, KAMILA FERNANDA:</t>
        </r>
        <r>
          <rPr>
            <sz val="9"/>
            <color indexed="81"/>
            <rFont val="Tahoma"/>
            <family val="2"/>
          </rPr>
          <t xml:space="preserve">
51-21 Establece captura anual</t>
        </r>
      </text>
    </comment>
  </commentList>
</comments>
</file>

<file path=xl/sharedStrings.xml><?xml version="1.0" encoding="utf-8"?>
<sst xmlns="http://schemas.openxmlformats.org/spreadsheetml/2006/main" count="339" uniqueCount="120">
  <si>
    <t>Pesquería</t>
  </si>
  <si>
    <t>Fracciones</t>
  </si>
  <si>
    <t xml:space="preserve">Periodo </t>
  </si>
  <si>
    <t>Cuota Asignada</t>
  </si>
  <si>
    <t>Movimientos</t>
  </si>
  <si>
    <t>Cuota Efectiva</t>
  </si>
  <si>
    <t>Captura</t>
  </si>
  <si>
    <t>Saldo</t>
  </si>
  <si>
    <t xml:space="preserve">% Consumo </t>
  </si>
  <si>
    <t>Cierre</t>
  </si>
  <si>
    <t>Fauna Acompañante</t>
  </si>
  <si>
    <t xml:space="preserve">IV Región de Coquimbo a XII Región de Magallanes y Antártica Chilena </t>
  </si>
  <si>
    <t>Investigación</t>
  </si>
  <si>
    <t>TOTAL CUOTA GLOBAL</t>
  </si>
  <si>
    <t>Periodo</t>
  </si>
  <si>
    <t>Raya Espinosa IV-XII</t>
  </si>
  <si>
    <t>-</t>
  </si>
  <si>
    <t>Raya Volantín IV-XII</t>
  </si>
  <si>
    <t xml:space="preserve">Objetivo Artesanal-Industrial </t>
  </si>
  <si>
    <t>unidad</t>
  </si>
  <si>
    <t>recurso</t>
  </si>
  <si>
    <t>zona</t>
  </si>
  <si>
    <t>tipo_asignatario</t>
  </si>
  <si>
    <t>organizacion_titular_area</t>
  </si>
  <si>
    <t>periodo_inicio</t>
  </si>
  <si>
    <t>periodo_final</t>
  </si>
  <si>
    <t>cuota</t>
  </si>
  <si>
    <t>cesiones_descuentos</t>
  </si>
  <si>
    <t>cuota_efectiva</t>
  </si>
  <si>
    <t>desembarque</t>
  </si>
  <si>
    <t>saldo</t>
  </si>
  <si>
    <t>consumo_porcentaje</t>
  </si>
  <si>
    <t>cierre</t>
  </si>
  <si>
    <t>preliminar</t>
  </si>
  <si>
    <t>IV-XII</t>
  </si>
  <si>
    <t>RAYA VOLANTIN</t>
  </si>
  <si>
    <t xml:space="preserve">ARTESANAL  </t>
  </si>
  <si>
    <t>RAYA VOLANTIN IV-XII</t>
  </si>
  <si>
    <t>RAYA ESPINOSA IV-VII</t>
  </si>
  <si>
    <t>RAYA ESPINOSA</t>
  </si>
  <si>
    <t>RAYA ESPINOSA IV-XII</t>
  </si>
  <si>
    <t xml:space="preserve">RAYA ESPINOSA XVI-41°28,6 L.S. </t>
  </si>
  <si>
    <t>año</t>
  </si>
  <si>
    <t>mensaje</t>
  </si>
  <si>
    <t xml:space="preserve">IV Región de Coquimbo a VII Región del Maule </t>
  </si>
  <si>
    <t>Región del Ñuble-41°28.6 L.S.</t>
  </si>
  <si>
    <t xml:space="preserve">41°28.6 LS a XII Región de Magallanes y Antártica Chilena </t>
  </si>
  <si>
    <t xml:space="preserve">Unidades de pesquerías </t>
  </si>
  <si>
    <t>13-10-2020 al 24-10-2020</t>
  </si>
  <si>
    <t xml:space="preserve">Objetivo Industrial </t>
  </si>
  <si>
    <t xml:space="preserve">Región de Coquimbo a  Región de Magallanes y Antártica Chilena </t>
  </si>
  <si>
    <t xml:space="preserve">Raya Volantín </t>
  </si>
  <si>
    <t>Recurso</t>
  </si>
  <si>
    <t>Raya Volantín IV</t>
  </si>
  <si>
    <t>Objetivo Artesanal</t>
  </si>
  <si>
    <t>CONTROL CUOTA ARTESANAL RAYA VOLANTIN Y RAYA ESPINOSA IV-XII. AÑO 2021. 
Folio DEXE202100051, 09-04-2021</t>
  </si>
  <si>
    <t>Fauna Acompañante Artesanal</t>
  </si>
  <si>
    <t>Objetivo Industrial</t>
  </si>
  <si>
    <t>15-10-2021 al 22-10-2021</t>
  </si>
  <si>
    <t>01-09-2021 al 30-11-2021</t>
  </si>
  <si>
    <t>XVI</t>
  </si>
  <si>
    <t>VIII</t>
  </si>
  <si>
    <t>IX</t>
  </si>
  <si>
    <t>XIV</t>
  </si>
  <si>
    <t xml:space="preserve">ARTESANAL-INDUSTRIAL </t>
  </si>
  <si>
    <t>INDUSTRIALES IV A XII</t>
  </si>
  <si>
    <t>INDUSTRIAL</t>
  </si>
  <si>
    <t>ARTESANAL-INDUSTRIAL IV A XII</t>
  </si>
  <si>
    <t>23-08-2021 al 30-11-2021</t>
  </si>
  <si>
    <t xml:space="preserve">IV Región a XII Región </t>
  </si>
  <si>
    <t>IV Región a XII Región</t>
  </si>
  <si>
    <t>01-04-2021 al 30-11-2021</t>
  </si>
  <si>
    <t>Objetivo</t>
  </si>
  <si>
    <t xml:space="preserve">Fauna Acompañante </t>
  </si>
  <si>
    <t xml:space="preserve">IV  a VII </t>
  </si>
  <si>
    <t>XVI a VIII</t>
  </si>
  <si>
    <t>IX a XIV</t>
  </si>
  <si>
    <t xml:space="preserve">IV a VII </t>
  </si>
  <si>
    <t xml:space="preserve">IV  a XII </t>
  </si>
  <si>
    <t>Información preliminar</t>
  </si>
  <si>
    <t>SECTOR</t>
  </si>
  <si>
    <t>Región/Area</t>
  </si>
  <si>
    <t>Cuota asignada</t>
  </si>
  <si>
    <t>Consumo</t>
  </si>
  <si>
    <t>Artesanal</t>
  </si>
  <si>
    <t>CUOTA OBJETIVO ARTESANAL</t>
  </si>
  <si>
    <t>CUOTA FAUNA ACOMPAÑANTE</t>
  </si>
  <si>
    <t>Industrial</t>
  </si>
  <si>
    <t>TOTAL FRACCION INDUSTRIAL</t>
  </si>
  <si>
    <t>Nota: Las cuotas de captura son establecidas por la Subsecretaría de pesca y Acuicultura</t>
  </si>
  <si>
    <t>Raya Volantín</t>
  </si>
  <si>
    <t>Raya Espinosa</t>
  </si>
  <si>
    <t>CONTROL CUOTA INDUSTRIAL RAYA VOLANTIN Y RAYA ESPINOSA IV-XII. AÑO 2021. 
Folio DEXE202100051, 09-04-2021</t>
  </si>
  <si>
    <t>RESUMEN ANUAL CONSUMO GLOBAL DE CUOTA RAYA VOLANTÍN Y ESPINOSA 2021</t>
  </si>
  <si>
    <t>CUOTA GLOBAL RAYA VOLANTÍN Y ESPINOSA IV-XII</t>
  </si>
  <si>
    <t>CUOTA FAUNA ACOMPAÑANTE ART E IND</t>
  </si>
  <si>
    <t>CUOTA INVESTIGACIÓN ART E IND</t>
  </si>
  <si>
    <t xml:space="preserve">TOTAL FRACCION ARTESANAL IV-XII </t>
  </si>
  <si>
    <t>TOTAL FRACCION ARTESANAL IV-XII</t>
  </si>
  <si>
    <t xml:space="preserve">ARTESANAL </t>
  </si>
  <si>
    <t xml:space="preserve">INDUSTRIAL </t>
  </si>
  <si>
    <t>INDUSTRIAL XVI AL 41°28,6LS</t>
  </si>
  <si>
    <t>CUOTA INVESTIGACIÓN (ART-IND)</t>
  </si>
  <si>
    <t>Investigación (Art-Ind)</t>
  </si>
  <si>
    <t>TOTAL CUOTA ARTESANAL</t>
  </si>
  <si>
    <t>Res. Ex. 498-2021 Establece período captura para embarcaciones artesanales</t>
  </si>
  <si>
    <t>Decreto Ex 51-2021 Establece cuota anual de captura artesanal e industrial</t>
  </si>
  <si>
    <t>Res. Ex. 2205-2021 Establece distribución artesanal raya volantín</t>
  </si>
  <si>
    <t>Res. Ex. 2341-2021 Modifica Res. Ex. 498-2021 modifica periodo captura embarcaciones artesanales</t>
  </si>
  <si>
    <t>Res. Ex. 2199-2021 Modifica 498-2021 modifica periodo de captura embarcaciones artesanales</t>
  </si>
  <si>
    <t>Res. Ex. 1010-2021 Modifica 498-2021 extiende plazo de captura embarcaciones artesanales</t>
  </si>
  <si>
    <t>Decreto Ex. 168-2021 Establece % de cuota artesanal e industrial 2021 al 2024</t>
  </si>
  <si>
    <t>Fauna Acompañante (Art-Ind)</t>
  </si>
  <si>
    <t>IV - XII Región Artesanal</t>
  </si>
  <si>
    <t>IV - XII Región Industrial</t>
  </si>
  <si>
    <t>X</t>
  </si>
  <si>
    <t>XI</t>
  </si>
  <si>
    <t>XII</t>
  </si>
  <si>
    <t>Objetivo Artesanal e Industrial</t>
  </si>
  <si>
    <t>15-10-2021 al 30-11-2021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</si>
</sst>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0.000"/>
    <numFmt numFmtId="166" formatCode="[$-F800]dddd\,\ mmmm\ dd\,\ yyyy"/>
    <numFmt numFmtId="167" formatCode="0.000%"/>
    <numFmt numFmtId="168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Arial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2B0B9"/>
        <bgColor indexed="64"/>
      </patternFill>
    </fill>
    <fill>
      <patternFill patternType="solid">
        <fgColor rgb="FFBA38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9CFDC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249">
    <xf numFmtId="0" fontId="0" fillId="0" borderId="0" xfId="0"/>
    <xf numFmtId="14" fontId="0" fillId="0" borderId="7" xfId="0" applyNumberFormat="1" applyFont="1" applyBorder="1" applyAlignment="1">
      <alignment horizontal="center" vertical="center"/>
    </xf>
    <xf numFmtId="0" fontId="0" fillId="0" borderId="0" xfId="0" applyAlignment="1"/>
    <xf numFmtId="0" fontId="4" fillId="2" borderId="6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2" fillId="0" borderId="0" xfId="0" applyFont="1" applyAlignment="1"/>
    <xf numFmtId="0" fontId="5" fillId="2" borderId="6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 vertical="center"/>
    </xf>
    <xf numFmtId="0" fontId="5" fillId="3" borderId="27" xfId="0" applyFont="1" applyFill="1" applyBorder="1" applyAlignment="1">
      <alignment horizontal="center" vertical="center"/>
    </xf>
    <xf numFmtId="2" fontId="4" fillId="0" borderId="28" xfId="0" applyNumberFormat="1" applyFont="1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>
      <alignment horizontal="center" vertical="center"/>
    </xf>
    <xf numFmtId="14" fontId="8" fillId="0" borderId="6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9" fontId="9" fillId="0" borderId="6" xfId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0" fontId="10" fillId="0" borderId="0" xfId="0" applyFont="1"/>
    <xf numFmtId="14" fontId="10" fillId="0" borderId="6" xfId="0" applyNumberFormat="1" applyFont="1" applyBorder="1" applyAlignment="1">
      <alignment horizontal="center" vertical="center"/>
    </xf>
    <xf numFmtId="9" fontId="10" fillId="0" borderId="0" xfId="1" applyFont="1"/>
    <xf numFmtId="14" fontId="10" fillId="0" borderId="0" xfId="0" applyNumberFormat="1" applyFont="1"/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14" fontId="0" fillId="0" borderId="7" xfId="0" applyNumberFormat="1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>
      <alignment horizontal="center" vertical="center"/>
    </xf>
    <xf numFmtId="165" fontId="5" fillId="0" borderId="14" xfId="0" applyNumberFormat="1" applyFont="1" applyFill="1" applyBorder="1" applyAlignment="1">
      <alignment horizontal="center" vertical="center"/>
    </xf>
    <xf numFmtId="14" fontId="2" fillId="0" borderId="15" xfId="0" applyNumberFormat="1" applyFont="1" applyFill="1" applyBorder="1" applyAlignment="1">
      <alignment horizontal="center" vertical="center"/>
    </xf>
    <xf numFmtId="165" fontId="4" fillId="0" borderId="28" xfId="0" applyNumberFormat="1" applyFont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4" fillId="4" borderId="6" xfId="0" applyNumberFormat="1" applyFont="1" applyFill="1" applyBorder="1" applyAlignment="1">
      <alignment horizontal="center" vertical="center"/>
    </xf>
    <xf numFmtId="165" fontId="5" fillId="4" borderId="14" xfId="0" applyNumberFormat="1" applyFont="1" applyFill="1" applyBorder="1" applyAlignment="1">
      <alignment horizontal="center" vertical="center"/>
    </xf>
    <xf numFmtId="167" fontId="4" fillId="0" borderId="6" xfId="1" applyNumberFormat="1" applyFont="1" applyBorder="1" applyAlignment="1">
      <alignment horizontal="center" vertical="center"/>
    </xf>
    <xf numFmtId="167" fontId="5" fillId="0" borderId="14" xfId="1" applyNumberFormat="1" applyFont="1" applyFill="1" applyBorder="1" applyAlignment="1">
      <alignment horizontal="center" vertical="center"/>
    </xf>
    <xf numFmtId="9" fontId="3" fillId="0" borderId="0" xfId="0" applyNumberFormat="1" applyFont="1" applyAlignment="1"/>
    <xf numFmtId="0" fontId="5" fillId="2" borderId="5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  <xf numFmtId="2" fontId="12" fillId="0" borderId="28" xfId="0" applyNumberFormat="1" applyFont="1" applyBorder="1" applyAlignment="1">
      <alignment horizontal="center" vertical="center" wrapText="1"/>
    </xf>
    <xf numFmtId="165" fontId="12" fillId="0" borderId="6" xfId="0" applyNumberFormat="1" applyFont="1" applyBorder="1" applyAlignment="1">
      <alignment horizontal="center" vertical="center" wrapText="1"/>
    </xf>
    <xf numFmtId="165" fontId="12" fillId="4" borderId="6" xfId="0" applyNumberFormat="1" applyFont="1" applyFill="1" applyBorder="1" applyAlignment="1">
      <alignment horizontal="center" vertical="center" wrapText="1"/>
    </xf>
    <xf numFmtId="167" fontId="12" fillId="0" borderId="6" xfId="1" applyNumberFormat="1" applyFont="1" applyBorder="1" applyAlignment="1">
      <alignment horizontal="center" vertical="center" wrapText="1"/>
    </xf>
    <xf numFmtId="165" fontId="12" fillId="0" borderId="6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 vertical="center" wrapText="1"/>
    </xf>
    <xf numFmtId="2" fontId="11" fillId="0" borderId="13" xfId="0" applyNumberFormat="1" applyFont="1" applyFill="1" applyBorder="1" applyAlignment="1">
      <alignment horizontal="center" vertical="center" wrapText="1"/>
    </xf>
    <xf numFmtId="165" fontId="11" fillId="0" borderId="14" xfId="0" applyNumberFormat="1" applyFont="1" applyFill="1" applyBorder="1" applyAlignment="1">
      <alignment horizontal="center" vertical="center" wrapText="1"/>
    </xf>
    <xf numFmtId="165" fontId="11" fillId="4" borderId="14" xfId="0" applyNumberFormat="1" applyFont="1" applyFill="1" applyBorder="1" applyAlignment="1">
      <alignment horizontal="center" vertical="center" wrapText="1"/>
    </xf>
    <xf numFmtId="167" fontId="11" fillId="0" borderId="14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2" fillId="2" borderId="6" xfId="0" applyFont="1" applyFill="1" applyBorder="1" applyAlignment="1">
      <alignment horizontal="left" vertical="center" wrapText="1"/>
    </xf>
    <xf numFmtId="14" fontId="0" fillId="0" borderId="7" xfId="0" applyNumberFormat="1" applyFill="1" applyBorder="1" applyAlignment="1">
      <alignment horizontal="center" vertical="center"/>
    </xf>
    <xf numFmtId="0" fontId="3" fillId="5" borderId="19" xfId="0" applyFont="1" applyFill="1" applyBorder="1"/>
    <xf numFmtId="0" fontId="3" fillId="5" borderId="20" xfId="0" applyFont="1" applyFill="1" applyBorder="1"/>
    <xf numFmtId="0" fontId="3" fillId="5" borderId="21" xfId="0" applyFont="1" applyFill="1" applyBorder="1"/>
    <xf numFmtId="0" fontId="3" fillId="5" borderId="22" xfId="0" applyFont="1" applyFill="1" applyBorder="1"/>
    <xf numFmtId="0" fontId="3" fillId="5" borderId="0" xfId="0" applyFont="1" applyFill="1" applyBorder="1"/>
    <xf numFmtId="0" fontId="3" fillId="5" borderId="23" xfId="0" applyFont="1" applyFill="1" applyBorder="1"/>
    <xf numFmtId="0" fontId="3" fillId="5" borderId="24" xfId="0" applyFont="1" applyFill="1" applyBorder="1"/>
    <xf numFmtId="0" fontId="3" fillId="5" borderId="25" xfId="0" applyFont="1" applyFill="1" applyBorder="1"/>
    <xf numFmtId="0" fontId="3" fillId="5" borderId="26" xfId="0" applyFont="1" applyFill="1" applyBorder="1"/>
    <xf numFmtId="0" fontId="5" fillId="5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/>
    </xf>
    <xf numFmtId="14" fontId="4" fillId="6" borderId="7" xfId="0" applyNumberFormat="1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center"/>
    </xf>
    <xf numFmtId="0" fontId="16" fillId="0" borderId="0" xfId="0" applyFont="1"/>
    <xf numFmtId="0" fontId="16" fillId="7" borderId="0" xfId="0" applyFont="1" applyFill="1"/>
    <xf numFmtId="1" fontId="10" fillId="9" borderId="10" xfId="0" applyNumberFormat="1" applyFont="1" applyFill="1" applyBorder="1" applyAlignment="1">
      <alignment horizontal="center" vertical="center"/>
    </xf>
    <xf numFmtId="0" fontId="16" fillId="7" borderId="0" xfId="0" quotePrefix="1" applyFont="1" applyFill="1"/>
    <xf numFmtId="1" fontId="10" fillId="9" borderId="6" xfId="0" applyNumberFormat="1" applyFont="1" applyFill="1" applyBorder="1" applyAlignment="1">
      <alignment horizontal="center" vertical="center"/>
    </xf>
    <xf numFmtId="9" fontId="10" fillId="0" borderId="7" xfId="1" applyFont="1" applyFill="1" applyBorder="1" applyAlignment="1">
      <alignment horizontal="center" vertical="center"/>
    </xf>
    <xf numFmtId="164" fontId="16" fillId="7" borderId="0" xfId="0" applyNumberFormat="1" applyFont="1" applyFill="1"/>
    <xf numFmtId="1" fontId="10" fillId="9" borderId="6" xfId="0" applyNumberFormat="1" applyFont="1" applyFill="1" applyBorder="1" applyAlignment="1">
      <alignment horizontal="center" vertical="center" wrapText="1"/>
    </xf>
    <xf numFmtId="9" fontId="10" fillId="0" borderId="7" xfId="1" applyFont="1" applyFill="1" applyBorder="1" applyAlignment="1">
      <alignment horizontal="center" vertical="center" wrapText="1"/>
    </xf>
    <xf numFmtId="1" fontId="16" fillId="7" borderId="0" xfId="0" applyNumberFormat="1" applyFont="1" applyFill="1"/>
    <xf numFmtId="9" fontId="10" fillId="0" borderId="38" xfId="1" applyFont="1" applyFill="1" applyBorder="1" applyAlignment="1">
      <alignment horizontal="center" vertical="center" wrapText="1"/>
    </xf>
    <xf numFmtId="1" fontId="15" fillId="10" borderId="34" xfId="0" applyNumberFormat="1" applyFont="1" applyFill="1" applyBorder="1" applyAlignment="1">
      <alignment horizontal="center" vertical="center" wrapText="1"/>
    </xf>
    <xf numFmtId="165" fontId="15" fillId="10" borderId="34" xfId="0" applyNumberFormat="1" applyFont="1" applyFill="1" applyBorder="1" applyAlignment="1">
      <alignment horizontal="center" vertical="center" wrapText="1"/>
    </xf>
    <xf numFmtId="0" fontId="17" fillId="9" borderId="6" xfId="0" applyFont="1" applyFill="1" applyBorder="1" applyAlignment="1">
      <alignment horizontal="center" vertical="center" wrapText="1"/>
    </xf>
    <xf numFmtId="0" fontId="19" fillId="0" borderId="0" xfId="0" applyFont="1"/>
    <xf numFmtId="168" fontId="17" fillId="9" borderId="5" xfId="0" applyNumberFormat="1" applyFont="1" applyFill="1" applyBorder="1" applyAlignment="1">
      <alignment horizontal="center" vertical="center" wrapText="1"/>
    </xf>
    <xf numFmtId="1" fontId="10" fillId="9" borderId="5" xfId="0" applyNumberFormat="1" applyFont="1" applyFill="1" applyBorder="1" applyAlignment="1">
      <alignment horizontal="center" vertical="center" wrapText="1"/>
    </xf>
    <xf numFmtId="1" fontId="10" fillId="9" borderId="10" xfId="0" applyNumberFormat="1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left"/>
    </xf>
    <xf numFmtId="14" fontId="4" fillId="6" borderId="38" xfId="0" applyNumberFormat="1" applyFont="1" applyFill="1" applyBorder="1" applyAlignment="1">
      <alignment horizontal="center" vertical="center"/>
    </xf>
    <xf numFmtId="2" fontId="4" fillId="0" borderId="39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165" fontId="4" fillId="0" borderId="5" xfId="0" applyNumberFormat="1" applyFont="1" applyFill="1" applyBorder="1" applyAlignment="1">
      <alignment horizontal="center" vertical="center"/>
    </xf>
    <xf numFmtId="167" fontId="4" fillId="0" borderId="5" xfId="1" applyNumberFormat="1" applyFont="1" applyBorder="1" applyAlignment="1">
      <alignment horizontal="center" vertical="center"/>
    </xf>
    <xf numFmtId="14" fontId="0" fillId="0" borderId="38" xfId="0" applyNumberFormat="1" applyFill="1" applyBorder="1" applyAlignment="1">
      <alignment horizontal="center" vertical="center"/>
    </xf>
    <xf numFmtId="2" fontId="5" fillId="0" borderId="14" xfId="0" applyNumberFormat="1" applyFont="1" applyFill="1" applyBorder="1" applyAlignment="1">
      <alignment horizontal="center" vertical="center"/>
    </xf>
    <xf numFmtId="167" fontId="4" fillId="0" borderId="5" xfId="1" applyNumberFormat="1" applyFont="1" applyFill="1" applyBorder="1" applyAlignment="1">
      <alignment horizontal="center" vertical="center"/>
    </xf>
    <xf numFmtId="1" fontId="10" fillId="0" borderId="10" xfId="0" applyNumberFormat="1" applyFont="1" applyFill="1" applyBorder="1" applyAlignment="1">
      <alignment horizontal="center" vertical="center"/>
    </xf>
    <xf numFmtId="165" fontId="10" fillId="0" borderId="10" xfId="0" applyNumberFormat="1" applyFont="1" applyFill="1" applyBorder="1" applyAlignment="1">
      <alignment horizontal="center" vertical="center"/>
    </xf>
    <xf numFmtId="165" fontId="10" fillId="0" borderId="6" xfId="0" applyNumberFormat="1" applyFont="1" applyFill="1" applyBorder="1" applyAlignment="1">
      <alignment horizontal="center" vertical="center"/>
    </xf>
    <xf numFmtId="165" fontId="10" fillId="0" borderId="6" xfId="0" applyNumberFormat="1" applyFont="1" applyFill="1" applyBorder="1" applyAlignment="1">
      <alignment horizontal="center" vertical="center" wrapText="1"/>
    </xf>
    <xf numFmtId="1" fontId="10" fillId="0" borderId="6" xfId="0" applyNumberFormat="1" applyFont="1" applyFill="1" applyBorder="1" applyAlignment="1">
      <alignment horizontal="center" vertical="center"/>
    </xf>
    <xf numFmtId="1" fontId="10" fillId="0" borderId="6" xfId="0" applyNumberFormat="1" applyFont="1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/>
    </xf>
    <xf numFmtId="9" fontId="10" fillId="0" borderId="6" xfId="1" applyFont="1" applyFill="1" applyBorder="1" applyAlignment="1">
      <alignment horizontal="center" vertical="center"/>
    </xf>
    <xf numFmtId="168" fontId="17" fillId="9" borderId="6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1" fontId="10" fillId="9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0" fontId="10" fillId="9" borderId="10" xfId="0" applyFont="1" applyFill="1" applyBorder="1" applyAlignment="1">
      <alignment horizontal="center" vertical="center" wrapText="1"/>
    </xf>
    <xf numFmtId="1" fontId="10" fillId="0" borderId="10" xfId="0" applyNumberFormat="1" applyFont="1" applyFill="1" applyBorder="1" applyAlignment="1">
      <alignment horizontal="center" vertical="center" wrapText="1"/>
    </xf>
    <xf numFmtId="0" fontId="17" fillId="3" borderId="33" xfId="0" applyFont="1" applyFill="1" applyBorder="1" applyAlignment="1">
      <alignment horizontal="center" vertical="center" wrapText="1"/>
    </xf>
    <xf numFmtId="1" fontId="10" fillId="3" borderId="34" xfId="0" applyNumberFormat="1" applyFont="1" applyFill="1" applyBorder="1" applyAlignment="1">
      <alignment horizontal="center" vertical="center" wrapText="1"/>
    </xf>
    <xf numFmtId="1" fontId="10" fillId="0" borderId="5" xfId="0" applyNumberFormat="1" applyFont="1" applyFill="1" applyBorder="1" applyAlignment="1">
      <alignment horizontal="center" vertical="center" wrapText="1"/>
    </xf>
    <xf numFmtId="165" fontId="10" fillId="0" borderId="10" xfId="0" applyNumberFormat="1" applyFont="1" applyFill="1" applyBorder="1" applyAlignment="1">
      <alignment horizontal="center" vertical="center" wrapText="1"/>
    </xf>
    <xf numFmtId="9" fontId="10" fillId="0" borderId="36" xfId="1" applyFont="1" applyFill="1" applyBorder="1" applyAlignment="1">
      <alignment horizontal="center" vertical="center" wrapText="1"/>
    </xf>
    <xf numFmtId="165" fontId="10" fillId="0" borderId="5" xfId="0" applyNumberFormat="1" applyFont="1" applyFill="1" applyBorder="1" applyAlignment="1">
      <alignment horizontal="center" vertical="center"/>
    </xf>
    <xf numFmtId="165" fontId="10" fillId="3" borderId="34" xfId="0" applyNumberFormat="1" applyFont="1" applyFill="1" applyBorder="1" applyAlignment="1">
      <alignment horizontal="center" vertical="center" wrapText="1"/>
    </xf>
    <xf numFmtId="165" fontId="10" fillId="3" borderId="34" xfId="0" applyNumberFormat="1" applyFont="1" applyFill="1" applyBorder="1" applyAlignment="1">
      <alignment horizontal="center" vertical="center"/>
    </xf>
    <xf numFmtId="0" fontId="0" fillId="9" borderId="10" xfId="0" applyFont="1" applyFill="1" applyBorder="1" applyAlignment="1">
      <alignment horizontal="center" vertical="center"/>
    </xf>
    <xf numFmtId="0" fontId="0" fillId="9" borderId="5" xfId="0" applyFont="1" applyFill="1" applyBorder="1" applyAlignment="1">
      <alignment horizontal="center" vertical="center"/>
    </xf>
    <xf numFmtId="0" fontId="17" fillId="9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center" vertical="center"/>
    </xf>
    <xf numFmtId="14" fontId="10" fillId="0" borderId="6" xfId="0" applyNumberFormat="1" applyFont="1" applyFill="1" applyBorder="1" applyAlignment="1">
      <alignment horizontal="center" vertical="center"/>
    </xf>
    <xf numFmtId="2" fontId="10" fillId="0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/>
    </xf>
    <xf numFmtId="0" fontId="10" fillId="0" borderId="6" xfId="0" applyFont="1" applyFill="1" applyBorder="1"/>
    <xf numFmtId="0" fontId="10" fillId="0" borderId="0" xfId="0" applyFont="1" applyFill="1"/>
    <xf numFmtId="9" fontId="10" fillId="0" borderId="38" xfId="1" applyFont="1" applyFill="1" applyBorder="1" applyAlignment="1">
      <alignment horizontal="center" vertical="center"/>
    </xf>
    <xf numFmtId="0" fontId="21" fillId="6" borderId="6" xfId="0" applyFont="1" applyFill="1" applyBorder="1" applyAlignment="1">
      <alignment horizontal="center" vertical="center"/>
    </xf>
    <xf numFmtId="14" fontId="21" fillId="6" borderId="7" xfId="0" applyNumberFormat="1" applyFont="1" applyFill="1" applyBorder="1" applyAlignment="1">
      <alignment horizontal="center" vertical="center"/>
    </xf>
    <xf numFmtId="0" fontId="20" fillId="6" borderId="6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/>
    </xf>
    <xf numFmtId="0" fontId="22" fillId="5" borderId="2" xfId="0" applyFont="1" applyFill="1" applyBorder="1" applyAlignment="1">
      <alignment horizontal="center" vertical="center"/>
    </xf>
    <xf numFmtId="0" fontId="22" fillId="5" borderId="3" xfId="0" applyFont="1" applyFill="1" applyBorder="1" applyAlignment="1">
      <alignment horizontal="center" vertical="center"/>
    </xf>
    <xf numFmtId="0" fontId="22" fillId="5" borderId="27" xfId="0" applyFont="1" applyFill="1" applyBorder="1" applyAlignment="1">
      <alignment horizontal="center" vertical="center"/>
    </xf>
    <xf numFmtId="2" fontId="21" fillId="0" borderId="28" xfId="0" applyNumberFormat="1" applyFont="1" applyBorder="1" applyAlignment="1">
      <alignment horizontal="center" vertical="center"/>
    </xf>
    <xf numFmtId="165" fontId="21" fillId="0" borderId="6" xfId="0" applyNumberFormat="1" applyFont="1" applyBorder="1" applyAlignment="1">
      <alignment horizontal="center" vertical="center"/>
    </xf>
    <xf numFmtId="165" fontId="22" fillId="0" borderId="6" xfId="0" applyNumberFormat="1" applyFont="1" applyFill="1" applyBorder="1" applyAlignment="1">
      <alignment horizontal="center" vertical="center"/>
    </xf>
    <xf numFmtId="167" fontId="21" fillId="0" borderId="6" xfId="1" applyNumberFormat="1" applyFont="1" applyBorder="1" applyAlignment="1">
      <alignment horizontal="center" vertical="center"/>
    </xf>
    <xf numFmtId="14" fontId="21" fillId="0" borderId="7" xfId="0" applyNumberFormat="1" applyFont="1" applyBorder="1" applyAlignment="1">
      <alignment horizontal="center" vertical="center"/>
    </xf>
    <xf numFmtId="165" fontId="21" fillId="0" borderId="6" xfId="0" applyNumberFormat="1" applyFont="1" applyFill="1" applyBorder="1" applyAlignment="1">
      <alignment horizontal="center" vertical="center"/>
    </xf>
    <xf numFmtId="14" fontId="21" fillId="0" borderId="7" xfId="0" applyNumberFormat="1" applyFont="1" applyFill="1" applyBorder="1" applyAlignment="1">
      <alignment horizontal="center" vertical="center"/>
    </xf>
    <xf numFmtId="165" fontId="21" fillId="0" borderId="28" xfId="0" applyNumberFormat="1" applyFont="1" applyBorder="1" applyAlignment="1">
      <alignment horizontal="center" vertical="center"/>
    </xf>
    <xf numFmtId="2" fontId="22" fillId="0" borderId="13" xfId="0" applyNumberFormat="1" applyFont="1" applyFill="1" applyBorder="1" applyAlignment="1">
      <alignment horizontal="center" vertical="center"/>
    </xf>
    <xf numFmtId="165" fontId="22" fillId="0" borderId="14" xfId="0" applyNumberFormat="1" applyFont="1" applyFill="1" applyBorder="1" applyAlignment="1">
      <alignment horizontal="center" vertical="center"/>
    </xf>
    <xf numFmtId="167" fontId="22" fillId="0" borderId="14" xfId="1" applyNumberFormat="1" applyFont="1" applyFill="1" applyBorder="1" applyAlignment="1">
      <alignment horizontal="center" vertical="center"/>
    </xf>
    <xf numFmtId="14" fontId="22" fillId="0" borderId="15" xfId="0" applyNumberFormat="1" applyFont="1" applyFill="1" applyBorder="1" applyAlignment="1">
      <alignment horizontal="center" vertical="center"/>
    </xf>
    <xf numFmtId="0" fontId="21" fillId="0" borderId="0" xfId="0" applyFont="1" applyAlignment="1"/>
    <xf numFmtId="9" fontId="23" fillId="0" borderId="0" xfId="0" applyNumberFormat="1" applyFont="1" applyAlignment="1"/>
    <xf numFmtId="0" fontId="22" fillId="5" borderId="16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/>
    </xf>
    <xf numFmtId="0" fontId="22" fillId="5" borderId="29" xfId="0" applyFont="1" applyFill="1" applyBorder="1" applyAlignment="1">
      <alignment horizontal="center" vertical="center"/>
    </xf>
    <xf numFmtId="165" fontId="21" fillId="0" borderId="5" xfId="0" applyNumberFormat="1" applyFont="1" applyBorder="1" applyAlignment="1">
      <alignment horizontal="center" vertical="center"/>
    </xf>
    <xf numFmtId="165" fontId="22" fillId="0" borderId="13" xfId="0" applyNumberFormat="1" applyFont="1" applyFill="1" applyBorder="1" applyAlignment="1">
      <alignment horizontal="center" vertical="center"/>
    </xf>
    <xf numFmtId="165" fontId="22" fillId="11" borderId="6" xfId="0" applyNumberFormat="1" applyFont="1" applyFill="1" applyBorder="1" applyAlignment="1">
      <alignment horizontal="center" vertical="center"/>
    </xf>
    <xf numFmtId="2" fontId="10" fillId="0" borderId="10" xfId="0" applyNumberFormat="1" applyFont="1" applyFill="1" applyBorder="1" applyAlignment="1">
      <alignment horizontal="center" vertical="center" wrapText="1"/>
    </xf>
    <xf numFmtId="2" fontId="10" fillId="0" borderId="6" xfId="0" applyNumberFormat="1" applyFont="1" applyFill="1" applyBorder="1" applyAlignment="1">
      <alignment horizontal="center" vertical="center" wrapText="1"/>
    </xf>
    <xf numFmtId="167" fontId="15" fillId="10" borderId="35" xfId="1" applyNumberFormat="1" applyFont="1" applyFill="1" applyBorder="1" applyAlignment="1">
      <alignment horizontal="center" vertical="center" wrapText="1"/>
    </xf>
    <xf numFmtId="167" fontId="10" fillId="3" borderId="35" xfId="1" applyNumberFormat="1" applyFont="1" applyFill="1" applyBorder="1" applyAlignment="1">
      <alignment horizontal="center" vertical="center" wrapText="1"/>
    </xf>
    <xf numFmtId="167" fontId="10" fillId="0" borderId="7" xfId="1" applyNumberFormat="1" applyFont="1" applyFill="1" applyBorder="1" applyAlignment="1">
      <alignment horizontal="center" vertical="center"/>
    </xf>
    <xf numFmtId="167" fontId="10" fillId="0" borderId="7" xfId="1" applyNumberFormat="1" applyFont="1" applyFill="1" applyBorder="1" applyAlignment="1">
      <alignment horizontal="center" vertical="center" wrapText="1"/>
    </xf>
    <xf numFmtId="167" fontId="10" fillId="0" borderId="36" xfId="1" applyNumberFormat="1" applyFont="1" applyFill="1" applyBorder="1" applyAlignment="1">
      <alignment horizontal="center" vertical="center" wrapText="1"/>
    </xf>
    <xf numFmtId="165" fontId="21" fillId="0" borderId="5" xfId="0" applyNumberFormat="1" applyFont="1" applyBorder="1" applyAlignment="1">
      <alignment horizontal="center" vertical="center"/>
    </xf>
    <xf numFmtId="14" fontId="22" fillId="6" borderId="7" xfId="0" applyNumberFormat="1" applyFont="1" applyFill="1" applyBorder="1" applyAlignment="1">
      <alignment horizontal="center" vertical="center"/>
    </xf>
    <xf numFmtId="165" fontId="5" fillId="11" borderId="5" xfId="0" applyNumberFormat="1" applyFont="1" applyFill="1" applyBorder="1" applyAlignment="1">
      <alignment horizontal="center" vertical="center"/>
    </xf>
    <xf numFmtId="0" fontId="21" fillId="6" borderId="6" xfId="0" applyFont="1" applyFill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165" fontId="5" fillId="11" borderId="6" xfId="0" applyNumberFormat="1" applyFont="1" applyFill="1" applyBorder="1" applyAlignment="1">
      <alignment horizontal="center" vertical="center"/>
    </xf>
    <xf numFmtId="166" fontId="15" fillId="10" borderId="33" xfId="0" applyNumberFormat="1" applyFont="1" applyFill="1" applyBorder="1" applyAlignment="1">
      <alignment horizontal="center" vertical="center"/>
    </xf>
    <xf numFmtId="166" fontId="15" fillId="10" borderId="34" xfId="0" applyNumberFormat="1" applyFont="1" applyFill="1" applyBorder="1" applyAlignment="1">
      <alignment horizontal="center" vertical="center"/>
    </xf>
    <xf numFmtId="0" fontId="17" fillId="3" borderId="33" xfId="0" applyFont="1" applyFill="1" applyBorder="1" applyAlignment="1">
      <alignment horizontal="center" vertical="center" wrapText="1"/>
    </xf>
    <xf numFmtId="0" fontId="17" fillId="3" borderId="34" xfId="0" applyFont="1" applyFill="1" applyBorder="1" applyAlignment="1">
      <alignment horizontal="center" vertical="center" wrapText="1"/>
    </xf>
    <xf numFmtId="168" fontId="17" fillId="9" borderId="6" xfId="0" applyNumberFormat="1" applyFont="1" applyFill="1" applyBorder="1" applyAlignment="1">
      <alignment horizontal="center" vertical="center" wrapText="1"/>
    </xf>
    <xf numFmtId="168" fontId="17" fillId="9" borderId="40" xfId="0" applyNumberFormat="1" applyFont="1" applyFill="1" applyBorder="1" applyAlignment="1">
      <alignment horizontal="center" vertical="center" wrapText="1"/>
    </xf>
    <xf numFmtId="168" fontId="17" fillId="9" borderId="37" xfId="0" applyNumberFormat="1" applyFont="1" applyFill="1" applyBorder="1" applyAlignment="1">
      <alignment horizontal="center" vertical="center" wrapText="1"/>
    </xf>
    <xf numFmtId="0" fontId="2" fillId="8" borderId="19" xfId="0" applyFont="1" applyFill="1" applyBorder="1" applyAlignment="1">
      <alignment horizontal="center" vertical="center"/>
    </xf>
    <xf numFmtId="0" fontId="2" fillId="8" borderId="20" xfId="0" applyFont="1" applyFill="1" applyBorder="1" applyAlignment="1">
      <alignment horizontal="center" vertical="center"/>
    </xf>
    <xf numFmtId="0" fontId="2" fillId="8" borderId="21" xfId="0" applyFont="1" applyFill="1" applyBorder="1" applyAlignment="1">
      <alignment horizontal="center" vertical="center"/>
    </xf>
    <xf numFmtId="166" fontId="2" fillId="8" borderId="24" xfId="0" applyNumberFormat="1" applyFont="1" applyFill="1" applyBorder="1" applyAlignment="1">
      <alignment horizontal="center" vertical="center"/>
    </xf>
    <xf numFmtId="166" fontId="2" fillId="8" borderId="25" xfId="0" applyNumberFormat="1" applyFont="1" applyFill="1" applyBorder="1" applyAlignment="1">
      <alignment horizontal="center" vertical="center"/>
    </xf>
    <xf numFmtId="166" fontId="2" fillId="8" borderId="26" xfId="0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68" fontId="17" fillId="9" borderId="41" xfId="0" applyNumberFormat="1" applyFont="1" applyFill="1" applyBorder="1" applyAlignment="1">
      <alignment horizontal="center" vertical="center" wrapText="1"/>
    </xf>
    <xf numFmtId="2" fontId="10" fillId="0" borderId="6" xfId="0" applyNumberFormat="1" applyFont="1" applyFill="1" applyBorder="1" applyAlignment="1">
      <alignment horizontal="center" vertical="center" wrapText="1"/>
    </xf>
    <xf numFmtId="1" fontId="10" fillId="0" borderId="6" xfId="0" applyNumberFormat="1" applyFont="1" applyFill="1" applyBorder="1" applyAlignment="1">
      <alignment horizontal="center" vertical="center" wrapText="1"/>
    </xf>
    <xf numFmtId="167" fontId="10" fillId="0" borderId="7" xfId="1" applyNumberFormat="1" applyFont="1" applyFill="1" applyBorder="1" applyAlignment="1">
      <alignment horizontal="center" vertical="center" wrapText="1"/>
    </xf>
    <xf numFmtId="1" fontId="10" fillId="9" borderId="6" xfId="0" applyNumberFormat="1" applyFont="1" applyFill="1" applyBorder="1" applyAlignment="1">
      <alignment horizontal="center" vertical="center" wrapText="1"/>
    </xf>
    <xf numFmtId="167" fontId="21" fillId="0" borderId="5" xfId="1" applyNumberFormat="1" applyFont="1" applyBorder="1" applyAlignment="1">
      <alignment horizontal="center" vertical="center"/>
    </xf>
    <xf numFmtId="167" fontId="21" fillId="0" borderId="10" xfId="1" applyNumberFormat="1" applyFont="1" applyBorder="1" applyAlignment="1">
      <alignment horizontal="center" vertical="center"/>
    </xf>
    <xf numFmtId="165" fontId="21" fillId="0" borderId="5" xfId="0" applyNumberFormat="1" applyFont="1" applyBorder="1" applyAlignment="1">
      <alignment horizontal="center" vertical="center"/>
    </xf>
    <xf numFmtId="165" fontId="21" fillId="0" borderId="9" xfId="0" applyNumberFormat="1" applyFont="1" applyBorder="1" applyAlignment="1">
      <alignment horizontal="center" vertical="center"/>
    </xf>
    <xf numFmtId="167" fontId="21" fillId="0" borderId="9" xfId="1" applyNumberFormat="1" applyFont="1" applyBorder="1" applyAlignment="1">
      <alignment horizontal="center" vertical="center"/>
    </xf>
    <xf numFmtId="165" fontId="21" fillId="0" borderId="10" xfId="0" applyNumberFormat="1" applyFont="1" applyBorder="1" applyAlignment="1">
      <alignment horizontal="center" vertical="center"/>
    </xf>
    <xf numFmtId="165" fontId="21" fillId="0" borderId="4" xfId="0" applyNumberFormat="1" applyFont="1" applyBorder="1" applyAlignment="1">
      <alignment horizontal="center" vertical="center"/>
    </xf>
    <xf numFmtId="165" fontId="21" fillId="0" borderId="32" xfId="0" applyNumberFormat="1" applyFont="1" applyBorder="1" applyAlignment="1">
      <alignment horizontal="center" vertical="center"/>
    </xf>
    <xf numFmtId="165" fontId="21" fillId="0" borderId="8" xfId="0" applyNumberFormat="1" applyFont="1" applyBorder="1" applyAlignment="1">
      <alignment horizontal="center" vertical="center"/>
    </xf>
    <xf numFmtId="0" fontId="20" fillId="6" borderId="4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11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166" fontId="6" fillId="5" borderId="25" xfId="0" applyNumberFormat="1" applyFont="1" applyFill="1" applyBorder="1" applyAlignment="1">
      <alignment horizontal="center"/>
    </xf>
    <xf numFmtId="0" fontId="20" fillId="6" borderId="5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0" fillId="6" borderId="10" xfId="0" applyFont="1" applyFill="1" applyBorder="1" applyAlignment="1">
      <alignment horizontal="center" vertical="center" wrapText="1"/>
    </xf>
    <xf numFmtId="0" fontId="20" fillId="6" borderId="12" xfId="0" applyFont="1" applyFill="1" applyBorder="1" applyAlignment="1">
      <alignment horizontal="center" vertical="center"/>
    </xf>
    <xf numFmtId="0" fontId="20" fillId="6" borderId="30" xfId="0" applyFont="1" applyFill="1" applyBorder="1" applyAlignment="1">
      <alignment horizontal="center" vertical="center"/>
    </xf>
    <xf numFmtId="0" fontId="20" fillId="6" borderId="31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6" borderId="30" xfId="0" applyFont="1" applyFill="1" applyBorder="1" applyAlignment="1">
      <alignment horizontal="center" vertical="center"/>
    </xf>
    <xf numFmtId="0" fontId="6" fillId="6" borderId="31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</cellXfs>
  <cellStyles count="3">
    <cellStyle name="Normal" xfId="0" builtinId="0"/>
    <cellStyle name="Porcentaje" xfId="1" builtinId="5"/>
    <cellStyle name="Porcentual 2" xfId="2"/>
  </cellStyles>
  <dxfs count="0"/>
  <tableStyles count="0" defaultTableStyle="TableStyleMedium2" defaultPivotStyle="PivotStyleLight16"/>
  <colors>
    <mruColors>
      <color rgb="FFF9CFDC"/>
      <color rgb="FFBA3851"/>
      <color rgb="FFF45E7E"/>
      <color rgb="FFF2B0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165100</xdr:colOff>
      <xdr:row>1</xdr:row>
      <xdr:rowOff>12700</xdr:rowOff>
    </xdr:from>
    <xdr:to>
      <xdr:col>2</xdr:col>
      <xdr:colOff>1235793</xdr:colOff>
      <xdr:row>3</xdr:row>
      <xdr:rowOff>207169</xdr:rowOff>
    </xdr:to>
    <xdr:pic>
      <xdr:nvPicPr>
        <xdr:cNvPr id="2" name="1 Imagen" descr="LOGO_SNP_2012_sinfondo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9900" y="12700"/>
          <a:ext cx="1746966" cy="682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165100</xdr:colOff>
      <xdr:row>1</xdr:row>
      <xdr:rowOff>12700</xdr:rowOff>
    </xdr:from>
    <xdr:to>
      <xdr:col>2</xdr:col>
      <xdr:colOff>296627</xdr:colOff>
      <xdr:row>5</xdr:row>
      <xdr:rowOff>1429</xdr:rowOff>
    </xdr:to>
    <xdr:pic>
      <xdr:nvPicPr>
        <xdr:cNvPr id="2" name="1 Imagen" descr="LOGO_SNP_2012_sinfondo.PNG">
          <a:extLst>
            <a:ext uri="{FF2B5EF4-FFF2-40B4-BE49-F238E27FC236}">
              <a16:creationId xmlns="" xmlns:a16="http://schemas.microsoft.com/office/drawing/2014/main" id="{2035FC17-91F5-4E0C-B061-6C03C596E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0880" y="294640"/>
          <a:ext cx="1792688" cy="7202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J41"/>
  <sheetViews>
    <sheetView tabSelected="1" workbookViewId="0">
      <selection activeCell="L29" sqref="L29"/>
    </sheetView>
  </sheetViews>
  <sheetFormatPr baseColWidth="10" defaultRowHeight="15" x14ac:dyDescent="0.25"/>
  <cols>
    <col min="4" max="4" width="37.42578125" bestFit="1" customWidth="1"/>
    <col min="5" max="5" width="15.5703125" customWidth="1"/>
    <col min="6" max="6" width="14.7109375" customWidth="1"/>
    <col min="7" max="7" width="14.28515625" customWidth="1"/>
  </cols>
  <sheetData>
    <row r="1" spans="1:10" x14ac:dyDescent="0.25">
      <c r="A1" s="76"/>
    </row>
    <row r="2" spans="1:10" ht="15.75" thickBot="1" x14ac:dyDescent="0.3">
      <c r="A2" s="76"/>
    </row>
    <row r="3" spans="1:10" x14ac:dyDescent="0.25">
      <c r="A3" s="77"/>
      <c r="B3" s="189" t="s">
        <v>93</v>
      </c>
      <c r="C3" s="190"/>
      <c r="D3" s="190"/>
      <c r="E3" s="190"/>
      <c r="F3" s="190"/>
      <c r="G3" s="190"/>
      <c r="H3" s="190"/>
      <c r="I3" s="190"/>
      <c r="J3" s="191"/>
    </row>
    <row r="4" spans="1:10" ht="15.75" thickBot="1" x14ac:dyDescent="0.3">
      <c r="A4" s="77"/>
      <c r="B4" s="192">
        <v>44536</v>
      </c>
      <c r="C4" s="193"/>
      <c r="D4" s="193"/>
      <c r="E4" s="193"/>
      <c r="F4" s="193"/>
      <c r="G4" s="193"/>
      <c r="H4" s="193"/>
      <c r="I4" s="193"/>
      <c r="J4" s="194"/>
    </row>
    <row r="5" spans="1:10" ht="15.75" thickBot="1" x14ac:dyDescent="0.3">
      <c r="B5" s="195" t="s">
        <v>79</v>
      </c>
      <c r="C5" s="195"/>
      <c r="D5" s="195"/>
      <c r="E5" s="195"/>
      <c r="F5" s="195"/>
      <c r="G5" s="195"/>
      <c r="H5" s="195"/>
      <c r="I5" s="195"/>
      <c r="J5" s="195"/>
    </row>
    <row r="6" spans="1:10" x14ac:dyDescent="0.25">
      <c r="A6" s="77"/>
      <c r="B6" s="113" t="s">
        <v>80</v>
      </c>
      <c r="C6" s="114"/>
      <c r="D6" s="114" t="s">
        <v>81</v>
      </c>
      <c r="E6" s="114" t="s">
        <v>82</v>
      </c>
      <c r="F6" s="114" t="s">
        <v>4</v>
      </c>
      <c r="G6" s="114" t="s">
        <v>5</v>
      </c>
      <c r="H6" s="114" t="s">
        <v>6</v>
      </c>
      <c r="I6" s="114" t="s">
        <v>7</v>
      </c>
      <c r="J6" s="115" t="s">
        <v>83</v>
      </c>
    </row>
    <row r="7" spans="1:10" x14ac:dyDescent="0.25">
      <c r="A7" s="77"/>
      <c r="B7" s="188" t="s">
        <v>84</v>
      </c>
      <c r="C7" s="186" t="s">
        <v>90</v>
      </c>
      <c r="D7" s="110" t="str">
        <f>+ARTESANAL!D7</f>
        <v xml:space="preserve">IV a VII </v>
      </c>
      <c r="E7" s="80">
        <f>+ARTESANAL!F7</f>
        <v>61.11</v>
      </c>
      <c r="F7" s="108">
        <f>+ARTESANAL!G7</f>
        <v>0</v>
      </c>
      <c r="G7" s="106">
        <f>+E7+F7</f>
        <v>61.11</v>
      </c>
      <c r="H7" s="106">
        <f>+ARTESANAL!I7</f>
        <v>10.637</v>
      </c>
      <c r="I7" s="106">
        <f t="shared" ref="I7:I15" si="0">+G7-H7</f>
        <v>50.472999999999999</v>
      </c>
      <c r="J7" s="81">
        <f>+H7/G7</f>
        <v>0.17406316478481429</v>
      </c>
    </row>
    <row r="8" spans="1:10" x14ac:dyDescent="0.25">
      <c r="A8" s="79"/>
      <c r="B8" s="188"/>
      <c r="C8" s="186"/>
      <c r="D8" s="110" t="str">
        <f>+ARTESANAL!D8</f>
        <v>XVI</v>
      </c>
      <c r="E8" s="80">
        <f>+ARTESANAL!F8</f>
        <v>15.98</v>
      </c>
      <c r="F8" s="108">
        <f>+ARTESANAL!G8</f>
        <v>0</v>
      </c>
      <c r="G8" s="106">
        <f t="shared" ref="G8:G14" si="1">+E8+F8</f>
        <v>15.98</v>
      </c>
      <c r="H8" s="106">
        <f>+ARTESANAL!I8</f>
        <v>0</v>
      </c>
      <c r="I8" s="106">
        <f t="shared" si="0"/>
        <v>15.98</v>
      </c>
      <c r="J8" s="81">
        <f t="shared" ref="J8:J9" si="2">+H8/G8</f>
        <v>0</v>
      </c>
    </row>
    <row r="9" spans="1:10" x14ac:dyDescent="0.25">
      <c r="A9" s="82"/>
      <c r="B9" s="188"/>
      <c r="C9" s="186"/>
      <c r="D9" s="110" t="str">
        <f>+ARTESANAL!D9</f>
        <v>VIII</v>
      </c>
      <c r="E9" s="80">
        <f>+ARTESANAL!F9</f>
        <v>217.28</v>
      </c>
      <c r="F9" s="108">
        <f>+ARTESANAL!G9</f>
        <v>0</v>
      </c>
      <c r="G9" s="106">
        <f t="shared" si="1"/>
        <v>217.28</v>
      </c>
      <c r="H9" s="106">
        <f>+ARTESANAL!I9</f>
        <v>56.463000000000001</v>
      </c>
      <c r="I9" s="106">
        <f t="shared" si="0"/>
        <v>160.81700000000001</v>
      </c>
      <c r="J9" s="172">
        <f t="shared" si="2"/>
        <v>0.25986284977908691</v>
      </c>
    </row>
    <row r="10" spans="1:10" x14ac:dyDescent="0.25">
      <c r="A10" s="82"/>
      <c r="B10" s="188"/>
      <c r="C10" s="186"/>
      <c r="D10" s="110" t="str">
        <f>+ARTESANAL!D10</f>
        <v>IX</v>
      </c>
      <c r="E10" s="80">
        <f>+ARTESANAL!F10</f>
        <v>30.29</v>
      </c>
      <c r="F10" s="108">
        <f>+ARTESANAL!G10</f>
        <v>0</v>
      </c>
      <c r="G10" s="106">
        <f t="shared" si="1"/>
        <v>30.29</v>
      </c>
      <c r="H10" s="106">
        <f>+ARTESANAL!I10</f>
        <v>13.054</v>
      </c>
      <c r="I10" s="106">
        <f t="shared" si="0"/>
        <v>17.235999999999997</v>
      </c>
      <c r="J10" s="81">
        <f>+H10/G10</f>
        <v>0.43096731594585674</v>
      </c>
    </row>
    <row r="11" spans="1:10" x14ac:dyDescent="0.25">
      <c r="A11" s="82"/>
      <c r="B11" s="188"/>
      <c r="C11" s="186"/>
      <c r="D11" s="110" t="str">
        <f>+ARTESANAL!D11</f>
        <v>XIV</v>
      </c>
      <c r="E11" s="80">
        <f>+ARTESANAL!F11</f>
        <v>216.42</v>
      </c>
      <c r="F11" s="108">
        <f>+ARTESANAL!G11</f>
        <v>0</v>
      </c>
      <c r="G11" s="106">
        <f t="shared" si="1"/>
        <v>216.42</v>
      </c>
      <c r="H11" s="106">
        <f>+ARTESANAL!I11</f>
        <v>1.4999999999999999E-2</v>
      </c>
      <c r="I11" s="106">
        <f t="shared" si="0"/>
        <v>216.405</v>
      </c>
      <c r="J11" s="81">
        <f t="shared" ref="J11:J14" si="3">+H11/G11</f>
        <v>6.9309675630718049E-5</v>
      </c>
    </row>
    <row r="12" spans="1:10" x14ac:dyDescent="0.25">
      <c r="A12" s="82"/>
      <c r="B12" s="188"/>
      <c r="C12" s="186"/>
      <c r="D12" s="110" t="s">
        <v>115</v>
      </c>
      <c r="E12" s="80">
        <f>+ARTESANAL!F12</f>
        <v>416.29</v>
      </c>
      <c r="F12" s="108">
        <f>+ARTESANAL!G12</f>
        <v>0</v>
      </c>
      <c r="G12" s="106">
        <f t="shared" ref="G12:G13" si="4">+E12+F12</f>
        <v>416.29</v>
      </c>
      <c r="H12" s="106">
        <f>+ARTESANAL!I12</f>
        <v>371.47899999999998</v>
      </c>
      <c r="I12" s="106">
        <f t="shared" ref="I12:I13" si="5">+G12-H12</f>
        <v>44.811000000000035</v>
      </c>
      <c r="J12" s="81">
        <f t="shared" ref="J12:J13" si="6">+H12/G12</f>
        <v>0.89235629008623785</v>
      </c>
    </row>
    <row r="13" spans="1:10" x14ac:dyDescent="0.25">
      <c r="A13" s="82"/>
      <c r="B13" s="188"/>
      <c r="C13" s="186"/>
      <c r="D13" s="110" t="s">
        <v>116</v>
      </c>
      <c r="E13" s="80">
        <f>+ARTESANAL!F13</f>
        <v>107.78</v>
      </c>
      <c r="F13" s="108">
        <f>+ARTESANAL!G13</f>
        <v>0</v>
      </c>
      <c r="G13" s="106">
        <f t="shared" si="4"/>
        <v>107.78</v>
      </c>
      <c r="H13" s="106">
        <f>+ARTESANAL!I13</f>
        <v>92.78</v>
      </c>
      <c r="I13" s="106">
        <f t="shared" si="5"/>
        <v>15</v>
      </c>
      <c r="J13" s="81">
        <f t="shared" si="6"/>
        <v>0.86082761180181855</v>
      </c>
    </row>
    <row r="14" spans="1:10" x14ac:dyDescent="0.25">
      <c r="A14" s="82"/>
      <c r="B14" s="188"/>
      <c r="C14" s="186"/>
      <c r="D14" s="110" t="str">
        <f>+ARTESANAL!D14</f>
        <v>XII</v>
      </c>
      <c r="E14" s="80">
        <f>+ARTESANAL!F14</f>
        <v>81.44</v>
      </c>
      <c r="F14" s="108">
        <f>+ARTESANAL!G14</f>
        <v>0</v>
      </c>
      <c r="G14" s="106">
        <f t="shared" si="1"/>
        <v>81.44</v>
      </c>
      <c r="H14" s="106">
        <f>+ARTESANAL!I14</f>
        <v>0</v>
      </c>
      <c r="I14" s="106">
        <f t="shared" si="0"/>
        <v>81.44</v>
      </c>
      <c r="J14" s="81">
        <f t="shared" si="3"/>
        <v>0</v>
      </c>
    </row>
    <row r="15" spans="1:10" x14ac:dyDescent="0.25">
      <c r="A15" s="77"/>
      <c r="B15" s="188"/>
      <c r="C15" s="186"/>
      <c r="D15" s="89" t="s">
        <v>85</v>
      </c>
      <c r="E15" s="83">
        <f>SUM(E7:E14)</f>
        <v>1146.5900000000001</v>
      </c>
      <c r="F15" s="107">
        <f>+F7+F8+F9+F10+F11+F14</f>
        <v>0</v>
      </c>
      <c r="G15" s="106">
        <f>+E15-F15</f>
        <v>1146.5900000000001</v>
      </c>
      <c r="H15" s="106">
        <f>SUM(H7:H14)</f>
        <v>544.428</v>
      </c>
      <c r="I15" s="106">
        <f t="shared" si="0"/>
        <v>602.16200000000015</v>
      </c>
      <c r="J15" s="81">
        <f t="shared" ref="J15:J20" si="7">+H15/G15</f>
        <v>0.47482360739235469</v>
      </c>
    </row>
    <row r="16" spans="1:10" x14ac:dyDescent="0.25">
      <c r="A16" s="77"/>
      <c r="B16" s="188"/>
      <c r="C16" s="186"/>
      <c r="D16" s="89" t="s">
        <v>86</v>
      </c>
      <c r="E16" s="80">
        <f>+ARTESANAL!F15</f>
        <v>11.58</v>
      </c>
      <c r="F16" s="108">
        <f>+ARTESANAL!G15</f>
        <v>0</v>
      </c>
      <c r="G16" s="108">
        <f>+E16+F16</f>
        <v>11.58</v>
      </c>
      <c r="H16" s="108">
        <f>+ARTESANAL!I15</f>
        <v>2.4950000000000001</v>
      </c>
      <c r="I16" s="108">
        <f>+ARTESANAL!J15</f>
        <v>9.0850000000000009</v>
      </c>
      <c r="J16" s="81">
        <f t="shared" si="7"/>
        <v>0.21545768566493956</v>
      </c>
    </row>
    <row r="17" spans="1:10" ht="15.75" thickBot="1" x14ac:dyDescent="0.3">
      <c r="A17" s="77"/>
      <c r="B17" s="188"/>
      <c r="C17" s="186"/>
      <c r="D17" s="130" t="s">
        <v>102</v>
      </c>
      <c r="E17" s="116">
        <f>+ARTESANAL!F16</f>
        <v>6</v>
      </c>
      <c r="F17" s="117">
        <f>+ARTESANAL!G16</f>
        <v>0</v>
      </c>
      <c r="G17" s="117">
        <f>+E17+F17</f>
        <v>6</v>
      </c>
      <c r="H17" s="117">
        <f>+ARTESANAL!I16</f>
        <v>0</v>
      </c>
      <c r="I17" s="117">
        <f>+ARTESANAL!J16</f>
        <v>6</v>
      </c>
      <c r="J17" s="138">
        <f t="shared" si="7"/>
        <v>0</v>
      </c>
    </row>
    <row r="18" spans="1:10" ht="15.75" thickBot="1" x14ac:dyDescent="0.3">
      <c r="A18" s="77"/>
      <c r="B18" s="188"/>
      <c r="C18" s="187"/>
      <c r="D18" s="120" t="s">
        <v>97</v>
      </c>
      <c r="E18" s="121">
        <f>E15+E16+E17</f>
        <v>1164.17</v>
      </c>
      <c r="F18" s="121">
        <f t="shared" ref="F18" si="8">+F7+F8+F9+F16+F10+F11+F14</f>
        <v>0</v>
      </c>
      <c r="G18" s="121">
        <f>+E18+F18</f>
        <v>1164.17</v>
      </c>
      <c r="H18" s="126">
        <f>+H15+H16</f>
        <v>546.923</v>
      </c>
      <c r="I18" s="121">
        <f>+G18-H18</f>
        <v>617.24700000000007</v>
      </c>
      <c r="J18" s="171">
        <f t="shared" si="7"/>
        <v>0.46979650738294232</v>
      </c>
    </row>
    <row r="19" spans="1:10" x14ac:dyDescent="0.25">
      <c r="A19" s="77"/>
      <c r="B19" s="188"/>
      <c r="C19" s="186" t="s">
        <v>91</v>
      </c>
      <c r="D19" s="118" t="str">
        <f>+ARTESANAL!D21</f>
        <v xml:space="preserve">IV  a VII </v>
      </c>
      <c r="E19" s="93">
        <f>+ARTESANAL!F21</f>
        <v>12.6</v>
      </c>
      <c r="F19" s="119">
        <f>+ARTESANAL!G21</f>
        <v>0</v>
      </c>
      <c r="G19" s="119">
        <f>+E19+F19</f>
        <v>12.6</v>
      </c>
      <c r="H19" s="168">
        <f>+ARTESANAL!I21</f>
        <v>12.645</v>
      </c>
      <c r="I19" s="119">
        <f>+G19-H19</f>
        <v>-4.4999999999999929E-2</v>
      </c>
      <c r="J19" s="124">
        <f t="shared" si="7"/>
        <v>1.0035714285714286</v>
      </c>
    </row>
    <row r="20" spans="1:10" x14ac:dyDescent="0.25">
      <c r="A20" s="77"/>
      <c r="B20" s="188"/>
      <c r="C20" s="186"/>
      <c r="D20" s="94" t="str">
        <f>+ARTESANAL!D22</f>
        <v>XVI a VIII</v>
      </c>
      <c r="E20" s="200">
        <f>+ARTESANAL!F22</f>
        <v>98.96</v>
      </c>
      <c r="F20" s="198">
        <f>+ARTESANAL!G22</f>
        <v>0</v>
      </c>
      <c r="G20" s="198">
        <f>+E20+F20</f>
        <v>98.96</v>
      </c>
      <c r="H20" s="197">
        <f>+ARTESANAL!I22+ARTESANAL!I23+ARTESANAL!I24</f>
        <v>30.006</v>
      </c>
      <c r="I20" s="198">
        <f>+G20-H20</f>
        <v>68.953999999999994</v>
      </c>
      <c r="J20" s="199">
        <f t="shared" si="7"/>
        <v>0.30321341956345998</v>
      </c>
    </row>
    <row r="21" spans="1:10" x14ac:dyDescent="0.25">
      <c r="A21" s="77"/>
      <c r="B21" s="188"/>
      <c r="C21" s="186"/>
      <c r="D21" s="94" t="str">
        <f>+ARTESANAL!D23</f>
        <v>IX a XIV</v>
      </c>
      <c r="E21" s="200"/>
      <c r="F21" s="198"/>
      <c r="G21" s="198"/>
      <c r="H21" s="197"/>
      <c r="I21" s="198"/>
      <c r="J21" s="199"/>
    </row>
    <row r="22" spans="1:10" x14ac:dyDescent="0.25">
      <c r="A22" s="77"/>
      <c r="B22" s="188"/>
      <c r="C22" s="186"/>
      <c r="D22" s="94" t="str">
        <f>+ARTESANAL!D24</f>
        <v>X</v>
      </c>
      <c r="E22" s="200"/>
      <c r="F22" s="198"/>
      <c r="G22" s="198"/>
      <c r="H22" s="197"/>
      <c r="I22" s="198"/>
      <c r="J22" s="199"/>
    </row>
    <row r="23" spans="1:10" x14ac:dyDescent="0.25">
      <c r="A23" s="77"/>
      <c r="B23" s="188"/>
      <c r="C23" s="186"/>
      <c r="D23" s="94" t="str">
        <f>+ARTESANAL!D26</f>
        <v>XII</v>
      </c>
      <c r="E23" s="83">
        <f>+ARTESANAL!F24</f>
        <v>124.84</v>
      </c>
      <c r="F23" s="109">
        <f>+ARTESANAL!G26</f>
        <v>0</v>
      </c>
      <c r="G23" s="109">
        <f>+E23+F23</f>
        <v>124.84</v>
      </c>
      <c r="H23" s="109">
        <f>+ARTESANAL!I26</f>
        <v>3.0000000000000001E-3</v>
      </c>
      <c r="I23" s="109">
        <f t="shared" ref="I23:I31" si="9">+G23-H23</f>
        <v>124.837</v>
      </c>
      <c r="J23" s="84">
        <f t="shared" ref="J23:J28" si="10">+H23/G23</f>
        <v>2.4030759371996154E-5</v>
      </c>
    </row>
    <row r="24" spans="1:10" x14ac:dyDescent="0.25">
      <c r="A24" s="77"/>
      <c r="B24" s="188"/>
      <c r="C24" s="186"/>
      <c r="D24" s="89" t="s">
        <v>85</v>
      </c>
      <c r="E24" s="83">
        <f>SUM(E19:E23)</f>
        <v>236.39999999999998</v>
      </c>
      <c r="F24" s="109">
        <f>+ARTESANAL!G27</f>
        <v>0</v>
      </c>
      <c r="G24" s="109">
        <f>+E24+F24</f>
        <v>236.39999999999998</v>
      </c>
      <c r="H24" s="109">
        <f>+H19+H20+H23</f>
        <v>42.653999999999996</v>
      </c>
      <c r="I24" s="109">
        <f t="shared" si="9"/>
        <v>193.74599999999998</v>
      </c>
      <c r="J24" s="173">
        <f t="shared" si="10"/>
        <v>0.18043147208121826</v>
      </c>
    </row>
    <row r="25" spans="1:10" x14ac:dyDescent="0.25">
      <c r="A25" s="77"/>
      <c r="B25" s="188"/>
      <c r="C25" s="186"/>
      <c r="D25" s="89" t="s">
        <v>95</v>
      </c>
      <c r="E25" s="83">
        <f>+ARTESANAL!F27</f>
        <v>2.4</v>
      </c>
      <c r="F25" s="109">
        <f>+ARTESANAL!G29</f>
        <v>0</v>
      </c>
      <c r="G25" s="109">
        <f t="shared" ref="G25:G27" si="11">+E25+F25</f>
        <v>2.4</v>
      </c>
      <c r="H25" s="169">
        <f>+ARTESANAL!I27+ARTESANAL!I28</f>
        <v>0.95399999999999996</v>
      </c>
      <c r="I25" s="109">
        <f t="shared" si="9"/>
        <v>1.446</v>
      </c>
      <c r="J25" s="173">
        <f t="shared" si="10"/>
        <v>0.39750000000000002</v>
      </c>
    </row>
    <row r="26" spans="1:10" ht="15.75" thickBot="1" x14ac:dyDescent="0.3">
      <c r="A26" s="77"/>
      <c r="B26" s="188"/>
      <c r="C26" s="186"/>
      <c r="D26" s="130" t="s">
        <v>96</v>
      </c>
      <c r="E26" s="92">
        <f>+ARTESANAL!F29</f>
        <v>1.2</v>
      </c>
      <c r="F26" s="122">
        <f>+ARTESANAL!G30</f>
        <v>0</v>
      </c>
      <c r="G26" s="122">
        <f t="shared" si="11"/>
        <v>1.2</v>
      </c>
      <c r="H26" s="122">
        <f>+ARTESANAL!I29</f>
        <v>0</v>
      </c>
      <c r="I26" s="122">
        <f t="shared" si="9"/>
        <v>1.2</v>
      </c>
      <c r="J26" s="86">
        <f t="shared" si="10"/>
        <v>0</v>
      </c>
    </row>
    <row r="27" spans="1:10" ht="15.75" thickBot="1" x14ac:dyDescent="0.3">
      <c r="A27" s="77"/>
      <c r="B27" s="188"/>
      <c r="C27" s="187"/>
      <c r="D27" s="120" t="s">
        <v>98</v>
      </c>
      <c r="E27" s="121">
        <f>+E24+E25+E26</f>
        <v>239.99999999999997</v>
      </c>
      <c r="F27" s="121">
        <f>+ARTESANAL!G31</f>
        <v>0</v>
      </c>
      <c r="G27" s="121">
        <f t="shared" si="11"/>
        <v>239.99999999999997</v>
      </c>
      <c r="H27" s="121">
        <f>+H24+H25+H26</f>
        <v>43.607999999999997</v>
      </c>
      <c r="I27" s="121">
        <f t="shared" si="9"/>
        <v>196.39199999999997</v>
      </c>
      <c r="J27" s="171">
        <f>+H27/G27</f>
        <v>0.1817</v>
      </c>
    </row>
    <row r="28" spans="1:10" ht="25.5" x14ac:dyDescent="0.25">
      <c r="A28" s="85"/>
      <c r="B28" s="188" t="s">
        <v>87</v>
      </c>
      <c r="C28" s="112" t="s">
        <v>90</v>
      </c>
      <c r="D28" s="128" t="str">
        <f>+INDUSTRIAL!D7</f>
        <v xml:space="preserve">IV  a XII </v>
      </c>
      <c r="E28" s="78">
        <f>+INDUSTRIAL!F9</f>
        <v>35.82</v>
      </c>
      <c r="F28" s="104">
        <f>+INDUSTRIAL!G7+INDUSTRIAL!G8</f>
        <v>0</v>
      </c>
      <c r="G28" s="104">
        <f>+E28+F28</f>
        <v>35.82</v>
      </c>
      <c r="H28" s="105">
        <f>+INDUSTRIAL!I7+INDUSTRIAL!I8</f>
        <v>0.30000000000000004</v>
      </c>
      <c r="I28" s="123">
        <f t="shared" si="9"/>
        <v>35.520000000000003</v>
      </c>
      <c r="J28" s="174">
        <f t="shared" si="10"/>
        <v>8.3752093802345069E-3</v>
      </c>
    </row>
    <row r="29" spans="1:10" ht="26.25" thickBot="1" x14ac:dyDescent="0.3">
      <c r="A29" s="85"/>
      <c r="B29" s="188"/>
      <c r="C29" s="91" t="s">
        <v>91</v>
      </c>
      <c r="D29" s="129" t="str">
        <f>+INDUSTRIAL!D13</f>
        <v xml:space="preserve">IV  a XII </v>
      </c>
      <c r="E29" s="116">
        <f>+INDUSTRIAL!F13</f>
        <v>236.39999999999998</v>
      </c>
      <c r="F29" s="125">
        <f>+INDUSTRIAL!G13</f>
        <v>0</v>
      </c>
      <c r="G29" s="125">
        <f>E29+F29</f>
        <v>236.39999999999998</v>
      </c>
      <c r="H29" s="125">
        <f>+INDUSTRIAL!I13</f>
        <v>0</v>
      </c>
      <c r="I29" s="123">
        <f t="shared" si="9"/>
        <v>236.39999999999998</v>
      </c>
      <c r="J29" s="86">
        <f>+H29/G29</f>
        <v>0</v>
      </c>
    </row>
    <row r="30" spans="1:10" ht="15.75" thickBot="1" x14ac:dyDescent="0.3">
      <c r="A30" s="77"/>
      <c r="B30" s="196"/>
      <c r="C30" s="184" t="s">
        <v>88</v>
      </c>
      <c r="D30" s="185"/>
      <c r="E30" s="121">
        <f>SUM(E28:E29)</f>
        <v>272.21999999999997</v>
      </c>
      <c r="F30" s="126">
        <f>SUM(F28:F29)</f>
        <v>0</v>
      </c>
      <c r="G30" s="126">
        <f>+E30-F30</f>
        <v>272.21999999999997</v>
      </c>
      <c r="H30" s="127">
        <f>SUM(H28:H29)</f>
        <v>0.30000000000000004</v>
      </c>
      <c r="I30" s="126">
        <f t="shared" si="9"/>
        <v>271.91999999999996</v>
      </c>
      <c r="J30" s="171">
        <f>+H30/G30</f>
        <v>1.1020498126515321E-3</v>
      </c>
    </row>
    <row r="31" spans="1:10" ht="15.75" thickBot="1" x14ac:dyDescent="0.3">
      <c r="A31" s="77"/>
      <c r="B31" s="182" t="s">
        <v>94</v>
      </c>
      <c r="C31" s="183"/>
      <c r="D31" s="183"/>
      <c r="E31" s="87">
        <f>+E18+E27+E28</f>
        <v>1439.99</v>
      </c>
      <c r="F31" s="88">
        <f>F18+F27+F30</f>
        <v>0</v>
      </c>
      <c r="G31" s="88">
        <f>+E31-F31</f>
        <v>1439.99</v>
      </c>
      <c r="H31" s="88">
        <f>+H18+H27+H30</f>
        <v>590.8309999999999</v>
      </c>
      <c r="I31" s="88">
        <f t="shared" si="9"/>
        <v>849.15900000000011</v>
      </c>
      <c r="J31" s="170">
        <f>+H31/G31</f>
        <v>0.41030215487607546</v>
      </c>
    </row>
    <row r="34" spans="2:3" x14ac:dyDescent="0.25">
      <c r="B34" s="90" t="s">
        <v>89</v>
      </c>
      <c r="C34" s="90"/>
    </row>
    <row r="35" spans="2:3" x14ac:dyDescent="0.25">
      <c r="B35" s="90" t="s">
        <v>105</v>
      </c>
      <c r="C35" s="90"/>
    </row>
    <row r="36" spans="2:3" x14ac:dyDescent="0.25">
      <c r="B36" s="90" t="s">
        <v>110</v>
      </c>
      <c r="C36" s="90"/>
    </row>
    <row r="37" spans="2:3" x14ac:dyDescent="0.25">
      <c r="B37" s="90" t="s">
        <v>106</v>
      </c>
    </row>
    <row r="38" spans="2:3" x14ac:dyDescent="0.25">
      <c r="B38" s="90" t="s">
        <v>109</v>
      </c>
    </row>
    <row r="39" spans="2:3" x14ac:dyDescent="0.25">
      <c r="B39" s="90" t="s">
        <v>107</v>
      </c>
    </row>
    <row r="40" spans="2:3" x14ac:dyDescent="0.25">
      <c r="B40" s="90" t="s">
        <v>108</v>
      </c>
    </row>
    <row r="41" spans="2:3" x14ac:dyDescent="0.25">
      <c r="B41" s="90" t="s">
        <v>111</v>
      </c>
    </row>
  </sheetData>
  <mergeCells count="15">
    <mergeCell ref="B3:J3"/>
    <mergeCell ref="B4:J4"/>
    <mergeCell ref="B5:J5"/>
    <mergeCell ref="B28:B30"/>
    <mergeCell ref="H20:H22"/>
    <mergeCell ref="I20:I22"/>
    <mergeCell ref="J20:J22"/>
    <mergeCell ref="E20:E22"/>
    <mergeCell ref="F20:F22"/>
    <mergeCell ref="G20:G22"/>
    <mergeCell ref="B31:D31"/>
    <mergeCell ref="C30:D30"/>
    <mergeCell ref="C7:C18"/>
    <mergeCell ref="B7:B27"/>
    <mergeCell ref="C19:C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BA3851"/>
  </sheetPr>
  <dimension ref="B1:L31"/>
  <sheetViews>
    <sheetView showGridLines="0" zoomScaleNormal="100" workbookViewId="0">
      <selection activeCell="I25" sqref="I25"/>
    </sheetView>
  </sheetViews>
  <sheetFormatPr baseColWidth="10" defaultColWidth="11.42578125" defaultRowHeight="15" x14ac:dyDescent="0.25"/>
  <cols>
    <col min="1" max="1" width="3.140625" style="2" customWidth="1"/>
    <col min="2" max="2" width="10.140625" style="2" customWidth="1"/>
    <col min="3" max="3" width="22.5703125" style="2" customWidth="1"/>
    <col min="4" max="4" width="14.42578125" style="2" customWidth="1"/>
    <col min="5" max="5" width="26.140625" style="2" customWidth="1"/>
    <col min="6" max="6" width="16.28515625" style="2" bestFit="1" customWidth="1"/>
    <col min="7" max="7" width="15.85546875" style="2" bestFit="1" customWidth="1"/>
    <col min="8" max="8" width="17.140625" style="2" bestFit="1" customWidth="1"/>
    <col min="9" max="9" width="11.28515625" style="2" customWidth="1"/>
    <col min="10" max="10" width="12" style="2" bestFit="1" customWidth="1"/>
    <col min="11" max="11" width="15" style="2" bestFit="1" customWidth="1"/>
    <col min="12" max="12" width="11.5703125" style="2" bestFit="1" customWidth="1"/>
    <col min="13" max="16384" width="11.42578125" style="2"/>
  </cols>
  <sheetData>
    <row r="1" spans="2:12" ht="22.5" customHeight="1" thickBot="1" x14ac:dyDescent="0.3"/>
    <row r="2" spans="2:12" x14ac:dyDescent="0.25">
      <c r="B2" s="55"/>
      <c r="C2" s="213" t="s">
        <v>55</v>
      </c>
      <c r="D2" s="214"/>
      <c r="E2" s="214"/>
      <c r="F2" s="214"/>
      <c r="G2" s="214"/>
      <c r="H2" s="214"/>
      <c r="I2" s="214"/>
      <c r="J2" s="214"/>
      <c r="K2" s="56"/>
      <c r="L2" s="57"/>
    </row>
    <row r="3" spans="2:12" ht="27" customHeight="1" x14ac:dyDescent="0.25">
      <c r="B3" s="58"/>
      <c r="C3" s="215"/>
      <c r="D3" s="215"/>
      <c r="E3" s="215"/>
      <c r="F3" s="215"/>
      <c r="G3" s="215"/>
      <c r="H3" s="215"/>
      <c r="I3" s="215"/>
      <c r="J3" s="215"/>
      <c r="K3" s="59"/>
      <c r="L3" s="60"/>
    </row>
    <row r="4" spans="2:12" ht="19.5" thickBot="1" x14ac:dyDescent="0.35">
      <c r="B4" s="61"/>
      <c r="C4" s="216">
        <f>+RESUMEN!B4</f>
        <v>44536</v>
      </c>
      <c r="D4" s="216"/>
      <c r="E4" s="216"/>
      <c r="F4" s="216"/>
      <c r="G4" s="216"/>
      <c r="H4" s="216"/>
      <c r="I4" s="216"/>
      <c r="J4" s="216"/>
      <c r="K4" s="62"/>
      <c r="L4" s="63"/>
    </row>
    <row r="5" spans="2:12" ht="15.75" thickBot="1" x14ac:dyDescent="0.3"/>
    <row r="6" spans="2:12" ht="31.5" x14ac:dyDescent="0.25">
      <c r="B6" s="142" t="s">
        <v>0</v>
      </c>
      <c r="C6" s="143" t="s">
        <v>1</v>
      </c>
      <c r="D6" s="179" t="s">
        <v>47</v>
      </c>
      <c r="E6" s="144" t="s">
        <v>2</v>
      </c>
      <c r="F6" s="145" t="s">
        <v>3</v>
      </c>
      <c r="G6" s="143" t="s">
        <v>4</v>
      </c>
      <c r="H6" s="143" t="s">
        <v>5</v>
      </c>
      <c r="I6" s="143" t="s">
        <v>6</v>
      </c>
      <c r="J6" s="143" t="s">
        <v>7</v>
      </c>
      <c r="K6" s="143" t="s">
        <v>8</v>
      </c>
      <c r="L6" s="144" t="s">
        <v>9</v>
      </c>
    </row>
    <row r="7" spans="2:12" ht="15.75" x14ac:dyDescent="0.25">
      <c r="B7" s="210" t="s">
        <v>17</v>
      </c>
      <c r="C7" s="217" t="s">
        <v>54</v>
      </c>
      <c r="D7" s="139" t="s">
        <v>77</v>
      </c>
      <c r="E7" s="176" t="s">
        <v>119</v>
      </c>
      <c r="F7" s="146">
        <v>61.11</v>
      </c>
      <c r="G7" s="147">
        <v>0</v>
      </c>
      <c r="H7" s="147">
        <f>F7+G7</f>
        <v>61.11</v>
      </c>
      <c r="I7" s="167">
        <v>10.637</v>
      </c>
      <c r="J7" s="147">
        <f>H7-I7</f>
        <v>50.472999999999999</v>
      </c>
      <c r="K7" s="149">
        <f t="shared" ref="K7:K17" si="0">I7/H7</f>
        <v>0.17406316478481429</v>
      </c>
      <c r="L7" s="150" t="s">
        <v>16</v>
      </c>
    </row>
    <row r="8" spans="2:12" ht="15.75" x14ac:dyDescent="0.25">
      <c r="B8" s="211"/>
      <c r="C8" s="218"/>
      <c r="D8" s="139" t="s">
        <v>60</v>
      </c>
      <c r="E8" s="140" t="s">
        <v>59</v>
      </c>
      <c r="F8" s="146">
        <v>15.98</v>
      </c>
      <c r="G8" s="147">
        <v>0</v>
      </c>
      <c r="H8" s="147">
        <f t="shared" ref="H8:H11" si="1">F8+G8</f>
        <v>15.98</v>
      </c>
      <c r="I8" s="148"/>
      <c r="J8" s="147">
        <f t="shared" ref="J8:J10" si="2">H8-I8</f>
        <v>15.98</v>
      </c>
      <c r="K8" s="149">
        <f t="shared" si="0"/>
        <v>0</v>
      </c>
      <c r="L8" s="150" t="s">
        <v>16</v>
      </c>
    </row>
    <row r="9" spans="2:12" ht="15.75" x14ac:dyDescent="0.25">
      <c r="B9" s="211"/>
      <c r="C9" s="218"/>
      <c r="D9" s="139" t="s">
        <v>61</v>
      </c>
      <c r="E9" s="140" t="s">
        <v>59</v>
      </c>
      <c r="F9" s="146">
        <v>217.28</v>
      </c>
      <c r="G9" s="147">
        <v>0</v>
      </c>
      <c r="H9" s="147">
        <f t="shared" si="1"/>
        <v>217.28</v>
      </c>
      <c r="I9" s="167">
        <v>56.463000000000001</v>
      </c>
      <c r="J9" s="147">
        <f t="shared" si="2"/>
        <v>160.81700000000001</v>
      </c>
      <c r="K9" s="149">
        <f t="shared" si="0"/>
        <v>0.25986284977908691</v>
      </c>
      <c r="L9" s="150" t="s">
        <v>16</v>
      </c>
    </row>
    <row r="10" spans="2:12" ht="15.75" x14ac:dyDescent="0.25">
      <c r="B10" s="211"/>
      <c r="C10" s="218"/>
      <c r="D10" s="139" t="s">
        <v>62</v>
      </c>
      <c r="E10" s="140" t="s">
        <v>68</v>
      </c>
      <c r="F10" s="146">
        <v>30.29</v>
      </c>
      <c r="G10" s="147">
        <v>0</v>
      </c>
      <c r="H10" s="147">
        <f t="shared" si="1"/>
        <v>30.29</v>
      </c>
      <c r="I10" s="167">
        <v>13.054</v>
      </c>
      <c r="J10" s="147">
        <f t="shared" si="2"/>
        <v>17.235999999999997</v>
      </c>
      <c r="K10" s="149">
        <f t="shared" si="0"/>
        <v>0.43096731594585674</v>
      </c>
      <c r="L10" s="150" t="s">
        <v>16</v>
      </c>
    </row>
    <row r="11" spans="2:12" ht="15.75" x14ac:dyDescent="0.25">
      <c r="B11" s="211"/>
      <c r="C11" s="218"/>
      <c r="D11" s="139" t="s">
        <v>63</v>
      </c>
      <c r="E11" s="140" t="s">
        <v>68</v>
      </c>
      <c r="F11" s="146">
        <v>216.42</v>
      </c>
      <c r="G11" s="147">
        <v>0</v>
      </c>
      <c r="H11" s="147">
        <f t="shared" si="1"/>
        <v>216.42</v>
      </c>
      <c r="I11" s="167">
        <v>1.4999999999999999E-2</v>
      </c>
      <c r="J11" s="147">
        <f>H11-I11</f>
        <v>216.405</v>
      </c>
      <c r="K11" s="149">
        <f t="shared" si="0"/>
        <v>6.9309675630718049E-5</v>
      </c>
      <c r="L11" s="150" t="s">
        <v>16</v>
      </c>
    </row>
    <row r="12" spans="2:12" ht="15.75" x14ac:dyDescent="0.25">
      <c r="B12" s="211"/>
      <c r="C12" s="218"/>
      <c r="D12" s="139" t="s">
        <v>115</v>
      </c>
      <c r="E12" s="176" t="s">
        <v>119</v>
      </c>
      <c r="F12" s="146">
        <v>416.29</v>
      </c>
      <c r="G12" s="147">
        <v>0</v>
      </c>
      <c r="H12" s="147">
        <f t="shared" ref="H12:H13" si="3">F12+G12</f>
        <v>416.29</v>
      </c>
      <c r="I12" s="167">
        <v>371.47899999999998</v>
      </c>
      <c r="J12" s="147">
        <f t="shared" ref="J12:J13" si="4">H12-I12</f>
        <v>44.811000000000035</v>
      </c>
      <c r="K12" s="149">
        <f t="shared" si="0"/>
        <v>0.89235629008623785</v>
      </c>
      <c r="L12" s="150" t="s">
        <v>16</v>
      </c>
    </row>
    <row r="13" spans="2:12" ht="15.75" x14ac:dyDescent="0.25">
      <c r="B13" s="211"/>
      <c r="C13" s="218"/>
      <c r="D13" s="139" t="s">
        <v>116</v>
      </c>
      <c r="E13" s="176" t="s">
        <v>119</v>
      </c>
      <c r="F13" s="146">
        <v>107.78</v>
      </c>
      <c r="G13" s="147">
        <v>0</v>
      </c>
      <c r="H13" s="147">
        <f t="shared" si="3"/>
        <v>107.78</v>
      </c>
      <c r="I13" s="167">
        <v>92.78</v>
      </c>
      <c r="J13" s="147">
        <f t="shared" si="4"/>
        <v>15</v>
      </c>
      <c r="K13" s="149">
        <f t="shared" si="0"/>
        <v>0.86082761180181855</v>
      </c>
      <c r="L13" s="150" t="s">
        <v>16</v>
      </c>
    </row>
    <row r="14" spans="2:12" ht="15.75" x14ac:dyDescent="0.25">
      <c r="B14" s="211"/>
      <c r="C14" s="219"/>
      <c r="D14" s="139" t="s">
        <v>117</v>
      </c>
      <c r="E14" s="176" t="s">
        <v>119</v>
      </c>
      <c r="F14" s="146">
        <v>81.44</v>
      </c>
      <c r="G14" s="147">
        <v>0</v>
      </c>
      <c r="H14" s="147">
        <f t="shared" ref="H14" si="5">F14+G14</f>
        <v>81.44</v>
      </c>
      <c r="I14" s="148"/>
      <c r="J14" s="151">
        <f t="shared" ref="J14" si="6">H14-I14</f>
        <v>81.44</v>
      </c>
      <c r="K14" s="149">
        <f t="shared" si="0"/>
        <v>0</v>
      </c>
      <c r="L14" s="152" t="s">
        <v>16</v>
      </c>
    </row>
    <row r="15" spans="2:12" ht="31.5" x14ac:dyDescent="0.25">
      <c r="B15" s="211"/>
      <c r="C15" s="141" t="s">
        <v>56</v>
      </c>
      <c r="D15" s="178" t="s">
        <v>69</v>
      </c>
      <c r="E15" s="176" t="s">
        <v>58</v>
      </c>
      <c r="F15" s="146">
        <v>11.58</v>
      </c>
      <c r="G15" s="147">
        <v>0</v>
      </c>
      <c r="H15" s="147">
        <f t="shared" ref="H15" si="7">F15+G15</f>
        <v>11.58</v>
      </c>
      <c r="I15" s="167">
        <v>2.4950000000000001</v>
      </c>
      <c r="J15" s="151">
        <f t="shared" ref="J15" si="8">H15-I15</f>
        <v>9.0850000000000009</v>
      </c>
      <c r="K15" s="149">
        <f t="shared" si="0"/>
        <v>0.21545768566493956</v>
      </c>
      <c r="L15" s="152" t="s">
        <v>16</v>
      </c>
    </row>
    <row r="16" spans="2:12" ht="31.5" x14ac:dyDescent="0.25">
      <c r="B16" s="211"/>
      <c r="C16" s="141" t="s">
        <v>103</v>
      </c>
      <c r="D16" s="178" t="s">
        <v>70</v>
      </c>
      <c r="E16" s="140" t="s">
        <v>58</v>
      </c>
      <c r="F16" s="153">
        <v>6</v>
      </c>
      <c r="G16" s="147">
        <v>0</v>
      </c>
      <c r="H16" s="147">
        <f t="shared" ref="H16" si="9">F16+G16</f>
        <v>6</v>
      </c>
      <c r="I16" s="148"/>
      <c r="J16" s="147">
        <f t="shared" ref="J16" si="10">H16-I16</f>
        <v>6</v>
      </c>
      <c r="K16" s="149">
        <f t="shared" si="0"/>
        <v>0</v>
      </c>
      <c r="L16" s="152" t="s">
        <v>16</v>
      </c>
    </row>
    <row r="17" spans="2:12" ht="16.5" thickBot="1" x14ac:dyDescent="0.3">
      <c r="B17" s="212"/>
      <c r="C17" s="220" t="s">
        <v>104</v>
      </c>
      <c r="D17" s="221"/>
      <c r="E17" s="222"/>
      <c r="F17" s="154">
        <f>SUM(F7:F15)</f>
        <v>1158.17</v>
      </c>
      <c r="G17" s="155">
        <f>SUM(G7:G16)</f>
        <v>0</v>
      </c>
      <c r="H17" s="155">
        <f>F17+G17</f>
        <v>1158.17</v>
      </c>
      <c r="I17" s="155">
        <f>SUM(I7:I16)</f>
        <v>546.923</v>
      </c>
      <c r="J17" s="155">
        <f>H17-I17</f>
        <v>611.24700000000007</v>
      </c>
      <c r="K17" s="156">
        <f t="shared" si="0"/>
        <v>0.47223032888090694</v>
      </c>
      <c r="L17" s="157" t="s">
        <v>16</v>
      </c>
    </row>
    <row r="18" spans="2:12" ht="15.75" hidden="1" x14ac:dyDescent="0.25">
      <c r="B18" s="158"/>
      <c r="C18" s="158"/>
      <c r="D18" s="158"/>
      <c r="E18" s="158"/>
      <c r="F18" s="158"/>
      <c r="G18" s="158"/>
      <c r="H18" s="158"/>
      <c r="I18" s="158"/>
      <c r="J18" s="158"/>
      <c r="K18" s="159">
        <v>1</v>
      </c>
      <c r="L18" s="158"/>
    </row>
    <row r="19" spans="2:12" ht="16.5" thickBot="1" x14ac:dyDescent="0.3"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58"/>
    </row>
    <row r="20" spans="2:12" s="7" customFormat="1" ht="15.75" x14ac:dyDescent="0.25">
      <c r="B20" s="160" t="s">
        <v>0</v>
      </c>
      <c r="C20" s="161" t="s">
        <v>1</v>
      </c>
      <c r="D20" s="162" t="s">
        <v>47</v>
      </c>
      <c r="E20" s="163" t="s">
        <v>14</v>
      </c>
      <c r="F20" s="164" t="s">
        <v>3</v>
      </c>
      <c r="G20" s="161" t="s">
        <v>4</v>
      </c>
      <c r="H20" s="161" t="s">
        <v>5</v>
      </c>
      <c r="I20" s="161" t="s">
        <v>6</v>
      </c>
      <c r="J20" s="161" t="s">
        <v>7</v>
      </c>
      <c r="K20" s="163" t="s">
        <v>8</v>
      </c>
      <c r="L20" s="163" t="s">
        <v>9</v>
      </c>
    </row>
    <row r="21" spans="2:12" ht="15.75" x14ac:dyDescent="0.25">
      <c r="B21" s="210" t="s">
        <v>15</v>
      </c>
      <c r="C21" s="217" t="s">
        <v>118</v>
      </c>
      <c r="D21" s="139" t="s">
        <v>74</v>
      </c>
      <c r="E21" s="176" t="s">
        <v>58</v>
      </c>
      <c r="F21" s="153">
        <v>12.6</v>
      </c>
      <c r="G21" s="147">
        <v>0</v>
      </c>
      <c r="H21" s="147">
        <f>F21+G21</f>
        <v>12.6</v>
      </c>
      <c r="I21" s="167">
        <v>12.645</v>
      </c>
      <c r="J21" s="147">
        <f>H21-I21-INDUSTRIAL!I13</f>
        <v>-4.4999999999999929E-2</v>
      </c>
      <c r="K21" s="149">
        <f>I21/H21</f>
        <v>1.0035714285714286</v>
      </c>
      <c r="L21" s="150" t="s">
        <v>16</v>
      </c>
    </row>
    <row r="22" spans="2:12" ht="15.75" x14ac:dyDescent="0.25">
      <c r="B22" s="211"/>
      <c r="C22" s="218"/>
      <c r="D22" s="139" t="s">
        <v>75</v>
      </c>
      <c r="E22" s="140" t="s">
        <v>59</v>
      </c>
      <c r="F22" s="207">
        <v>98.96</v>
      </c>
      <c r="G22" s="165">
        <v>0</v>
      </c>
      <c r="H22" s="203">
        <f>F22+G22+G23</f>
        <v>98.96</v>
      </c>
      <c r="I22" s="167">
        <v>19.623999999999999</v>
      </c>
      <c r="J22" s="203">
        <f>+H22-(I22+I23)</f>
        <v>78.724999999999994</v>
      </c>
      <c r="K22" s="201">
        <f>+(I22+I23)/H22</f>
        <v>0.2044765561843169</v>
      </c>
      <c r="L22" s="150" t="s">
        <v>16</v>
      </c>
    </row>
    <row r="23" spans="2:12" ht="15.75" x14ac:dyDescent="0.25">
      <c r="B23" s="211"/>
      <c r="C23" s="218"/>
      <c r="D23" s="139" t="s">
        <v>76</v>
      </c>
      <c r="E23" s="140" t="s">
        <v>68</v>
      </c>
      <c r="F23" s="208"/>
      <c r="G23" s="165">
        <v>0</v>
      </c>
      <c r="H23" s="204"/>
      <c r="I23" s="167">
        <v>0.61099999999999999</v>
      </c>
      <c r="J23" s="204"/>
      <c r="K23" s="205"/>
      <c r="L23" s="152" t="s">
        <v>16</v>
      </c>
    </row>
    <row r="24" spans="2:12" ht="15.75" x14ac:dyDescent="0.25">
      <c r="B24" s="211"/>
      <c r="C24" s="218"/>
      <c r="D24" s="139" t="s">
        <v>115</v>
      </c>
      <c r="E24" s="176" t="s">
        <v>119</v>
      </c>
      <c r="F24" s="209">
        <v>124.84</v>
      </c>
      <c r="G24" s="165">
        <v>0</v>
      </c>
      <c r="H24" s="203">
        <f>+F24+G24+G25+G26</f>
        <v>124.84</v>
      </c>
      <c r="I24" s="167">
        <v>9.7710000000000008</v>
      </c>
      <c r="J24" s="203">
        <f>+H24-(I24+I25+I26)</f>
        <v>112.271</v>
      </c>
      <c r="K24" s="201">
        <f>+(I24+I25+I26)/H24</f>
        <v>0.10068087151553989</v>
      </c>
      <c r="L24" s="152"/>
    </row>
    <row r="25" spans="2:12" ht="15.75" x14ac:dyDescent="0.25">
      <c r="B25" s="211"/>
      <c r="C25" s="218"/>
      <c r="D25" s="139" t="s">
        <v>116</v>
      </c>
      <c r="E25" s="176" t="s">
        <v>119</v>
      </c>
      <c r="F25" s="209"/>
      <c r="G25" s="175">
        <v>0</v>
      </c>
      <c r="H25" s="204"/>
      <c r="I25" s="167">
        <v>2.7949999999999999</v>
      </c>
      <c r="J25" s="204"/>
      <c r="K25" s="205"/>
      <c r="L25" s="152"/>
    </row>
    <row r="26" spans="2:12" ht="15.75" x14ac:dyDescent="0.25">
      <c r="B26" s="211"/>
      <c r="C26" s="219"/>
      <c r="D26" s="139" t="s">
        <v>117</v>
      </c>
      <c r="E26" s="176" t="s">
        <v>119</v>
      </c>
      <c r="F26" s="208"/>
      <c r="G26" s="147">
        <v>0</v>
      </c>
      <c r="H26" s="206"/>
      <c r="I26" s="167">
        <v>3.0000000000000001E-3</v>
      </c>
      <c r="J26" s="206"/>
      <c r="K26" s="202"/>
      <c r="L26" s="152" t="s">
        <v>16</v>
      </c>
    </row>
    <row r="27" spans="2:12" ht="31.5" x14ac:dyDescent="0.25">
      <c r="B27" s="211"/>
      <c r="C27" s="217" t="s">
        <v>112</v>
      </c>
      <c r="D27" s="178" t="s">
        <v>113</v>
      </c>
      <c r="E27" s="176" t="s">
        <v>58</v>
      </c>
      <c r="F27" s="207">
        <v>2.4</v>
      </c>
      <c r="G27" s="147">
        <v>0</v>
      </c>
      <c r="H27" s="203">
        <f t="shared" ref="H27:H29" si="11">F27+G27</f>
        <v>2.4</v>
      </c>
      <c r="I27" s="148"/>
      <c r="J27" s="203">
        <f>H27-(I27+I28)</f>
        <v>1.446</v>
      </c>
      <c r="K27" s="201">
        <f>I27+I28/H27</f>
        <v>0.39750000000000002</v>
      </c>
      <c r="L27" s="152" t="s">
        <v>16</v>
      </c>
    </row>
    <row r="28" spans="2:12" ht="31.5" x14ac:dyDescent="0.25">
      <c r="B28" s="211"/>
      <c r="C28" s="219"/>
      <c r="D28" s="178" t="s">
        <v>114</v>
      </c>
      <c r="E28" s="140" t="s">
        <v>71</v>
      </c>
      <c r="F28" s="208"/>
      <c r="G28" s="147">
        <v>0</v>
      </c>
      <c r="H28" s="206"/>
      <c r="I28" s="167">
        <v>0.95399999999999996</v>
      </c>
      <c r="J28" s="206"/>
      <c r="K28" s="202"/>
      <c r="L28" s="152" t="s">
        <v>16</v>
      </c>
    </row>
    <row r="29" spans="2:12" ht="31.5" x14ac:dyDescent="0.25">
      <c r="B29" s="211"/>
      <c r="C29" s="141" t="s">
        <v>103</v>
      </c>
      <c r="D29" s="178" t="s">
        <v>69</v>
      </c>
      <c r="E29" s="140" t="s">
        <v>58</v>
      </c>
      <c r="F29" s="153">
        <v>1.2</v>
      </c>
      <c r="G29" s="147">
        <v>0</v>
      </c>
      <c r="H29" s="147">
        <f t="shared" si="11"/>
        <v>1.2</v>
      </c>
      <c r="I29" s="148"/>
      <c r="J29" s="147">
        <f t="shared" ref="J29" si="12">H29-I29</f>
        <v>1.2</v>
      </c>
      <c r="K29" s="149">
        <f>I29/H29</f>
        <v>0</v>
      </c>
      <c r="L29" s="150" t="s">
        <v>16</v>
      </c>
    </row>
    <row r="30" spans="2:12" ht="16.5" thickBot="1" x14ac:dyDescent="0.3">
      <c r="B30" s="212"/>
      <c r="C30" s="220" t="s">
        <v>13</v>
      </c>
      <c r="D30" s="221"/>
      <c r="E30" s="222"/>
      <c r="F30" s="166">
        <f>+F21+F22+F24+F27+F29</f>
        <v>239.99999999999997</v>
      </c>
      <c r="G30" s="155">
        <f>SUM(G21:G29)</f>
        <v>0</v>
      </c>
      <c r="H30" s="155">
        <f>F30+G30</f>
        <v>239.99999999999997</v>
      </c>
      <c r="I30" s="155">
        <f>SUM(I21:I29)</f>
        <v>46.402999999999999</v>
      </c>
      <c r="J30" s="155">
        <f>H30-I30</f>
        <v>193.59699999999998</v>
      </c>
      <c r="K30" s="156">
        <f>I30/H30</f>
        <v>0.19334583333333336</v>
      </c>
      <c r="L30" s="157" t="s">
        <v>16</v>
      </c>
    </row>
    <row r="31" spans="2:12" hidden="1" x14ac:dyDescent="0.25">
      <c r="K31" s="37">
        <v>1</v>
      </c>
    </row>
  </sheetData>
  <mergeCells count="21">
    <mergeCell ref="F22:F23"/>
    <mergeCell ref="F24:F26"/>
    <mergeCell ref="B21:B30"/>
    <mergeCell ref="C2:J3"/>
    <mergeCell ref="C4:J4"/>
    <mergeCell ref="B7:B17"/>
    <mergeCell ref="C7:C14"/>
    <mergeCell ref="C17:E17"/>
    <mergeCell ref="C30:E30"/>
    <mergeCell ref="C21:C26"/>
    <mergeCell ref="C27:C28"/>
    <mergeCell ref="F27:F28"/>
    <mergeCell ref="H27:H28"/>
    <mergeCell ref="J27:J28"/>
    <mergeCell ref="K27:K28"/>
    <mergeCell ref="H22:H23"/>
    <mergeCell ref="J22:J23"/>
    <mergeCell ref="K22:K23"/>
    <mergeCell ref="H24:H26"/>
    <mergeCell ref="J24:J26"/>
    <mergeCell ref="K24:K26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BA3851"/>
  </sheetPr>
  <dimension ref="B1:L16"/>
  <sheetViews>
    <sheetView zoomScale="80" zoomScaleNormal="80" workbookViewId="0">
      <selection activeCell="C47" sqref="C47"/>
    </sheetView>
  </sheetViews>
  <sheetFormatPr baseColWidth="10" defaultColWidth="11.42578125" defaultRowHeight="15" x14ac:dyDescent="0.25"/>
  <cols>
    <col min="1" max="1" width="2.140625" style="2" customWidth="1"/>
    <col min="2" max="2" width="24" style="2" bestFit="1" customWidth="1"/>
    <col min="3" max="3" width="25.42578125" style="2" customWidth="1"/>
    <col min="4" max="4" width="16.7109375" style="2" customWidth="1"/>
    <col min="5" max="5" width="31.42578125" style="2" customWidth="1"/>
    <col min="6" max="6" width="25.42578125" style="2" bestFit="1" customWidth="1"/>
    <col min="7" max="7" width="15.85546875" style="2" bestFit="1" customWidth="1"/>
    <col min="8" max="8" width="17.140625" style="2" bestFit="1" customWidth="1"/>
    <col min="9" max="9" width="11.28515625" style="2" customWidth="1"/>
    <col min="10" max="10" width="12" style="2" bestFit="1" customWidth="1"/>
    <col min="11" max="11" width="15" style="2" bestFit="1" customWidth="1"/>
    <col min="12" max="12" width="14.5703125" style="2" customWidth="1"/>
    <col min="13" max="16384" width="11.42578125" style="2"/>
  </cols>
  <sheetData>
    <row r="1" spans="2:12" ht="22.5" customHeight="1" thickBot="1" x14ac:dyDescent="0.3"/>
    <row r="2" spans="2:12" x14ac:dyDescent="0.25">
      <c r="B2" s="55"/>
      <c r="C2" s="213" t="s">
        <v>92</v>
      </c>
      <c r="D2" s="214"/>
      <c r="E2" s="214"/>
      <c r="F2" s="214"/>
      <c r="G2" s="214"/>
      <c r="H2" s="214"/>
      <c r="I2" s="214"/>
      <c r="J2" s="214"/>
      <c r="K2" s="56"/>
      <c r="L2" s="57"/>
    </row>
    <row r="3" spans="2:12" ht="27" customHeight="1" x14ac:dyDescent="0.25">
      <c r="B3" s="58"/>
      <c r="C3" s="215"/>
      <c r="D3" s="215"/>
      <c r="E3" s="215"/>
      <c r="F3" s="215"/>
      <c r="G3" s="215"/>
      <c r="H3" s="215"/>
      <c r="I3" s="215"/>
      <c r="J3" s="215"/>
      <c r="K3" s="59"/>
      <c r="L3" s="60"/>
    </row>
    <row r="4" spans="2:12" ht="19.5" thickBot="1" x14ac:dyDescent="0.35">
      <c r="B4" s="61"/>
      <c r="C4" s="216">
        <f>+RESUMEN!B4</f>
        <v>44536</v>
      </c>
      <c r="D4" s="216"/>
      <c r="E4" s="216"/>
      <c r="F4" s="216"/>
      <c r="G4" s="216"/>
      <c r="H4" s="216"/>
      <c r="I4" s="216"/>
      <c r="J4" s="216"/>
      <c r="K4" s="62"/>
      <c r="L4" s="63"/>
    </row>
    <row r="5" spans="2:12" ht="15.75" thickBot="1" x14ac:dyDescent="0.3"/>
    <row r="6" spans="2:12" ht="37.5" x14ac:dyDescent="0.25">
      <c r="B6" s="64" t="s">
        <v>0</v>
      </c>
      <c r="C6" s="65" t="s">
        <v>1</v>
      </c>
      <c r="D6" s="180" t="s">
        <v>47</v>
      </c>
      <c r="E6" s="66" t="s">
        <v>2</v>
      </c>
      <c r="F6" s="67" t="s">
        <v>3</v>
      </c>
      <c r="G6" s="65" t="s">
        <v>4</v>
      </c>
      <c r="H6" s="65" t="s">
        <v>5</v>
      </c>
      <c r="I6" s="65" t="s">
        <v>6</v>
      </c>
      <c r="J6" s="65" t="s">
        <v>7</v>
      </c>
      <c r="K6" s="65" t="s">
        <v>8</v>
      </c>
      <c r="L6" s="66" t="s">
        <v>9</v>
      </c>
    </row>
    <row r="7" spans="2:12" ht="18.75" x14ac:dyDescent="0.25">
      <c r="B7" s="223" t="s">
        <v>17</v>
      </c>
      <c r="C7" s="74" t="s">
        <v>72</v>
      </c>
      <c r="D7" s="230" t="s">
        <v>78</v>
      </c>
      <c r="E7" s="73" t="s">
        <v>71</v>
      </c>
      <c r="F7" s="11">
        <v>35.46</v>
      </c>
      <c r="G7" s="12">
        <v>0</v>
      </c>
      <c r="H7" s="12">
        <f t="shared" ref="H7:H8" si="0">F7+G7</f>
        <v>35.46</v>
      </c>
      <c r="I7" s="181">
        <v>2.7E-2</v>
      </c>
      <c r="J7" s="13">
        <f t="shared" ref="J7:J8" si="1">H7-I7</f>
        <v>35.433</v>
      </c>
      <c r="K7" s="35">
        <f t="shared" ref="K7:K8" si="2">I7/H7</f>
        <v>7.614213197969543E-4</v>
      </c>
      <c r="L7" s="54" t="s">
        <v>16</v>
      </c>
    </row>
    <row r="8" spans="2:12" ht="18.75" x14ac:dyDescent="0.3">
      <c r="B8" s="223"/>
      <c r="C8" s="95" t="s">
        <v>73</v>
      </c>
      <c r="D8" s="231"/>
      <c r="E8" s="96" t="s">
        <v>71</v>
      </c>
      <c r="F8" s="97">
        <v>0.36</v>
      </c>
      <c r="G8" s="98">
        <v>0</v>
      </c>
      <c r="H8" s="98">
        <f t="shared" si="0"/>
        <v>0.36</v>
      </c>
      <c r="I8" s="177">
        <f>0.209+0.064</f>
        <v>0.27300000000000002</v>
      </c>
      <c r="J8" s="99">
        <f t="shared" si="1"/>
        <v>8.6999999999999966E-2</v>
      </c>
      <c r="K8" s="100">
        <f t="shared" si="2"/>
        <v>0.75833333333333341</v>
      </c>
      <c r="L8" s="101" t="s">
        <v>16</v>
      </c>
    </row>
    <row r="9" spans="2:12" ht="19.5" thickBot="1" x14ac:dyDescent="0.3">
      <c r="B9" s="224"/>
      <c r="C9" s="225" t="s">
        <v>13</v>
      </c>
      <c r="D9" s="225"/>
      <c r="E9" s="225"/>
      <c r="F9" s="102">
        <f>SUM(F7:F8)</f>
        <v>35.82</v>
      </c>
      <c r="G9" s="29">
        <f>SUM(G7:G8)</f>
        <v>0</v>
      </c>
      <c r="H9" s="29">
        <f>F9+G9</f>
        <v>35.82</v>
      </c>
      <c r="I9" s="29">
        <f>SUM(I7:I8)</f>
        <v>0.30000000000000004</v>
      </c>
      <c r="J9" s="29">
        <f>H9-I9</f>
        <v>35.520000000000003</v>
      </c>
      <c r="K9" s="36">
        <f>I9/H9</f>
        <v>8.3752093802345069E-3</v>
      </c>
      <c r="L9" s="30" t="s">
        <v>16</v>
      </c>
    </row>
    <row r="10" spans="2:12" x14ac:dyDescent="0.25">
      <c r="K10" s="37">
        <v>1</v>
      </c>
    </row>
    <row r="11" spans="2:12" ht="15.75" hidden="1" thickBot="1" x14ac:dyDescent="0.3"/>
    <row r="12" spans="2:12" s="7" customFormat="1" ht="18.75" hidden="1" x14ac:dyDescent="0.25">
      <c r="B12" s="68" t="s">
        <v>0</v>
      </c>
      <c r="C12" s="69" t="s">
        <v>1</v>
      </c>
      <c r="D12" s="70" t="s">
        <v>47</v>
      </c>
      <c r="E12" s="71" t="s">
        <v>14</v>
      </c>
      <c r="F12" s="72" t="s">
        <v>3</v>
      </c>
      <c r="G12" s="69" t="s">
        <v>4</v>
      </c>
      <c r="H12" s="69" t="s">
        <v>5</v>
      </c>
      <c r="I12" s="69" t="s">
        <v>6</v>
      </c>
      <c r="J12" s="69" t="s">
        <v>7</v>
      </c>
      <c r="K12" s="71" t="s">
        <v>8</v>
      </c>
      <c r="L12" s="71" t="s">
        <v>9</v>
      </c>
    </row>
    <row r="13" spans="2:12" ht="18.75" hidden="1" x14ac:dyDescent="0.3">
      <c r="B13" s="223" t="s">
        <v>15</v>
      </c>
      <c r="C13" s="74" t="s">
        <v>57</v>
      </c>
      <c r="D13" s="75" t="s">
        <v>78</v>
      </c>
      <c r="E13" s="73" t="s">
        <v>71</v>
      </c>
      <c r="F13" s="31">
        <f>+ARTESANAL!F21+ARTESANAL!F22+ARTESANAL!F24</f>
        <v>236.39999999999998</v>
      </c>
      <c r="G13" s="12">
        <v>0</v>
      </c>
      <c r="H13" s="12">
        <f>+F13+G13</f>
        <v>236.39999999999998</v>
      </c>
      <c r="I13" s="13"/>
      <c r="J13" s="13">
        <f>+H13-I13-ARTESANAL!I21-ARTESANAL!I22-ARTESANAL!I23-ARTESANAL!I24-ARTESANAL!I26</f>
        <v>193.74599999999998</v>
      </c>
      <c r="K13" s="103">
        <f>I13/H13</f>
        <v>0</v>
      </c>
      <c r="L13" s="54" t="s">
        <v>16</v>
      </c>
    </row>
    <row r="14" spans="2:12" ht="19.5" hidden="1" thickBot="1" x14ac:dyDescent="0.3">
      <c r="B14" s="226"/>
      <c r="C14" s="227" t="s">
        <v>13</v>
      </c>
      <c r="D14" s="228"/>
      <c r="E14" s="229"/>
      <c r="F14" s="32">
        <f>+F13</f>
        <v>236.39999999999998</v>
      </c>
      <c r="G14" s="29">
        <f>SUM(G13:G13)</f>
        <v>0</v>
      </c>
      <c r="H14" s="29">
        <f>F14+G14</f>
        <v>236.39999999999998</v>
      </c>
      <c r="I14" s="29">
        <f>SUM(I13:I13)</f>
        <v>0</v>
      </c>
      <c r="J14" s="29">
        <f>H14-I14</f>
        <v>236.39999999999998</v>
      </c>
      <c r="K14" s="36">
        <f>I14/H14</f>
        <v>0</v>
      </c>
      <c r="L14" s="30" t="s">
        <v>16</v>
      </c>
    </row>
    <row r="15" spans="2:12" hidden="1" x14ac:dyDescent="0.25">
      <c r="K15" s="37"/>
    </row>
    <row r="16" spans="2:12" hidden="1" x14ac:dyDescent="0.25"/>
  </sheetData>
  <mergeCells count="7">
    <mergeCell ref="C2:J3"/>
    <mergeCell ref="C4:J4"/>
    <mergeCell ref="B7:B9"/>
    <mergeCell ref="C9:E9"/>
    <mergeCell ref="B13:B14"/>
    <mergeCell ref="C14:E14"/>
    <mergeCell ref="D7:D8"/>
  </mergeCells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Y19"/>
  <sheetViews>
    <sheetView topLeftCell="P1" zoomScale="120" zoomScaleNormal="120" workbookViewId="0">
      <selection activeCell="Y11" sqref="Y11"/>
    </sheetView>
  </sheetViews>
  <sheetFormatPr baseColWidth="10" defaultRowHeight="15" x14ac:dyDescent="0.25"/>
  <cols>
    <col min="2" max="2" width="23.7109375" bestFit="1" customWidth="1"/>
    <col min="3" max="3" width="35.5703125" bestFit="1" customWidth="1"/>
    <col min="4" max="4" width="80.140625" bestFit="1" customWidth="1"/>
    <col min="5" max="5" width="18.85546875" bestFit="1" customWidth="1"/>
    <col min="6" max="6" width="17.28515625" customWidth="1"/>
    <col min="7" max="7" width="17.5703125" bestFit="1" customWidth="1"/>
    <col min="10" max="10" width="14.85546875" bestFit="1" customWidth="1"/>
    <col min="17" max="17" width="12.42578125" customWidth="1"/>
    <col min="18" max="18" width="15.28515625" customWidth="1"/>
    <col min="19" max="19" width="31.85546875" customWidth="1"/>
  </cols>
  <sheetData>
    <row r="3" spans="2:25" ht="15.75" thickBot="1" x14ac:dyDescent="0.3">
      <c r="Q3" s="52"/>
      <c r="R3" s="52"/>
      <c r="S3" s="52"/>
      <c r="T3" s="52"/>
      <c r="U3" s="52"/>
      <c r="V3" s="52"/>
      <c r="W3" s="52"/>
      <c r="X3" s="52"/>
      <c r="Y3" s="52"/>
    </row>
    <row r="4" spans="2:25" ht="24.75" thickBot="1" x14ac:dyDescent="0.3">
      <c r="Q4" s="39" t="s">
        <v>0</v>
      </c>
      <c r="R4" s="40" t="s">
        <v>1</v>
      </c>
      <c r="S4" s="40" t="s">
        <v>47</v>
      </c>
      <c r="T4" s="41" t="s">
        <v>3</v>
      </c>
      <c r="U4" s="40" t="s">
        <v>4</v>
      </c>
      <c r="V4" s="40" t="s">
        <v>5</v>
      </c>
      <c r="W4" s="40" t="s">
        <v>6</v>
      </c>
      <c r="X4" s="40" t="s">
        <v>7</v>
      </c>
      <c r="Y4" s="40" t="s">
        <v>8</v>
      </c>
    </row>
    <row r="5" spans="2:25" ht="24" x14ac:dyDescent="0.25">
      <c r="B5" s="4" t="s">
        <v>52</v>
      </c>
      <c r="C5" s="5" t="s">
        <v>1</v>
      </c>
      <c r="D5" s="5" t="s">
        <v>47</v>
      </c>
      <c r="E5" s="10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Q5" s="241" t="s">
        <v>51</v>
      </c>
      <c r="R5" s="244" t="s">
        <v>54</v>
      </c>
      <c r="S5" s="53" t="s">
        <v>44</v>
      </c>
      <c r="T5" s="42">
        <v>15.43</v>
      </c>
      <c r="U5" s="43">
        <v>0</v>
      </c>
      <c r="V5" s="43">
        <f>T5+U5</f>
        <v>15.43</v>
      </c>
      <c r="W5" s="44">
        <v>17.312000000000001</v>
      </c>
      <c r="X5" s="43">
        <f>V5-W5</f>
        <v>-1.8820000000000014</v>
      </c>
      <c r="Y5" s="45">
        <f>W5/V5</f>
        <v>1.1219701879455606</v>
      </c>
    </row>
    <row r="6" spans="2:25" ht="18.75" x14ac:dyDescent="0.3">
      <c r="B6" s="232" t="s">
        <v>51</v>
      </c>
      <c r="C6" s="38" t="s">
        <v>49</v>
      </c>
      <c r="D6" s="3" t="s">
        <v>50</v>
      </c>
      <c r="E6" s="11">
        <v>8.73</v>
      </c>
      <c r="F6" s="12">
        <v>0</v>
      </c>
      <c r="G6" s="12">
        <f>E6+F6</f>
        <v>8.73</v>
      </c>
      <c r="H6" s="33">
        <v>0</v>
      </c>
      <c r="I6" s="12">
        <f>G6-H6</f>
        <v>8.73</v>
      </c>
      <c r="J6" s="35">
        <f>H6/G6</f>
        <v>0</v>
      </c>
      <c r="Q6" s="242"/>
      <c r="R6" s="245"/>
      <c r="S6" s="53" t="s">
        <v>45</v>
      </c>
      <c r="T6" s="42">
        <v>121.28</v>
      </c>
      <c r="U6" s="43">
        <v>0</v>
      </c>
      <c r="V6" s="43">
        <f>T6+U6</f>
        <v>121.28</v>
      </c>
      <c r="W6" s="44">
        <v>106.11199999999999</v>
      </c>
      <c r="X6" s="43">
        <f>V6-W6</f>
        <v>15.168000000000006</v>
      </c>
      <c r="Y6" s="45">
        <f>W6/V6</f>
        <v>0.87493403693931393</v>
      </c>
    </row>
    <row r="7" spans="2:25" ht="24" x14ac:dyDescent="0.3">
      <c r="B7" s="233"/>
      <c r="C7" s="8" t="s">
        <v>10</v>
      </c>
      <c r="D7" s="3" t="s">
        <v>50</v>
      </c>
      <c r="E7" s="11">
        <v>0.09</v>
      </c>
      <c r="F7" s="12">
        <v>0</v>
      </c>
      <c r="G7" s="12">
        <f t="shared" ref="G7" si="0">E7+F7</f>
        <v>0.09</v>
      </c>
      <c r="H7" s="33">
        <v>5.0000000000000001E-3</v>
      </c>
      <c r="I7" s="13">
        <f t="shared" ref="I7" si="1">G7-H7</f>
        <v>8.4999999999999992E-2</v>
      </c>
      <c r="J7" s="35">
        <f t="shared" ref="J7" si="2">H7/G7</f>
        <v>5.5555555555555559E-2</v>
      </c>
      <c r="Q7" s="242"/>
      <c r="R7" s="246"/>
      <c r="S7" s="53" t="s">
        <v>46</v>
      </c>
      <c r="T7" s="42">
        <v>153</v>
      </c>
      <c r="U7" s="43">
        <v>0</v>
      </c>
      <c r="V7" s="43">
        <f t="shared" ref="V7:V9" si="3">T7+U7</f>
        <v>153</v>
      </c>
      <c r="W7" s="44">
        <v>364.93200000000002</v>
      </c>
      <c r="X7" s="46">
        <f t="shared" ref="X7:X8" si="4">V7-W7</f>
        <v>-211.93200000000002</v>
      </c>
      <c r="Y7" s="45">
        <f t="shared" ref="Y7:Y9" si="5">W7/V7</f>
        <v>2.3851764705882355</v>
      </c>
    </row>
    <row r="8" spans="2:25" ht="24.75" thickBot="1" x14ac:dyDescent="0.3">
      <c r="B8" s="234"/>
      <c r="C8" s="238" t="s">
        <v>13</v>
      </c>
      <c r="D8" s="239"/>
      <c r="E8" s="28">
        <f>SUM(E6:E7)</f>
        <v>8.82</v>
      </c>
      <c r="F8" s="29">
        <f>SUM(F6:F7)</f>
        <v>0</v>
      </c>
      <c r="G8" s="29">
        <f>E8+F8</f>
        <v>8.82</v>
      </c>
      <c r="H8" s="34">
        <f>SUM(H6:H7)</f>
        <v>5.0000000000000001E-3</v>
      </c>
      <c r="I8" s="29">
        <f>G8-H8</f>
        <v>8.8149999999999995</v>
      </c>
      <c r="J8" s="36">
        <f>H8/G8</f>
        <v>5.6689342403628119E-4</v>
      </c>
      <c r="Q8" s="242"/>
      <c r="R8" s="47" t="s">
        <v>10</v>
      </c>
      <c r="S8" s="53" t="s">
        <v>11</v>
      </c>
      <c r="T8" s="42">
        <v>4.29</v>
      </c>
      <c r="U8" s="43">
        <v>0</v>
      </c>
      <c r="V8" s="43">
        <f t="shared" si="3"/>
        <v>4.29</v>
      </c>
      <c r="W8" s="44">
        <f>2.85</f>
        <v>2.85</v>
      </c>
      <c r="X8" s="46">
        <f t="shared" si="4"/>
        <v>1.44</v>
      </c>
      <c r="Y8" s="45">
        <f t="shared" si="5"/>
        <v>0.66433566433566438</v>
      </c>
    </row>
    <row r="9" spans="2:25" ht="24" x14ac:dyDescent="0.25">
      <c r="Q9" s="242"/>
      <c r="R9" s="47" t="s">
        <v>12</v>
      </c>
      <c r="S9" s="53" t="s">
        <v>11</v>
      </c>
      <c r="T9" s="42">
        <v>6</v>
      </c>
      <c r="U9" s="43">
        <v>0</v>
      </c>
      <c r="V9" s="43">
        <f t="shared" si="3"/>
        <v>6</v>
      </c>
      <c r="W9" s="44">
        <v>0</v>
      </c>
      <c r="X9" s="43">
        <f>V9-W9</f>
        <v>6</v>
      </c>
      <c r="Y9" s="45">
        <f t="shared" si="5"/>
        <v>0</v>
      </c>
    </row>
    <row r="10" spans="2:25" ht="15.75" thickBot="1" x14ac:dyDescent="0.3">
      <c r="Q10" s="243"/>
      <c r="R10" s="247" t="s">
        <v>13</v>
      </c>
      <c r="S10" s="248"/>
      <c r="T10" s="48">
        <f>SUM(T5:T9)</f>
        <v>300.00000000000006</v>
      </c>
      <c r="U10" s="49">
        <f>SUM(U5:U9)</f>
        <v>0</v>
      </c>
      <c r="V10" s="49">
        <f>T10+U10</f>
        <v>300.00000000000006</v>
      </c>
      <c r="W10" s="50">
        <f>SUM(W5:W9)</f>
        <v>491.20600000000002</v>
      </c>
      <c r="X10" s="49">
        <f>V10-W10</f>
        <v>-191.20599999999996</v>
      </c>
      <c r="Y10" s="51">
        <f>W10/V10</f>
        <v>1.637353333333333</v>
      </c>
    </row>
    <row r="12" spans="2:25" ht="15.75" thickBot="1" x14ac:dyDescent="0.3"/>
    <row r="13" spans="2:25" ht="18.75" x14ac:dyDescent="0.25">
      <c r="B13" s="4" t="s">
        <v>0</v>
      </c>
      <c r="C13" s="5" t="s">
        <v>1</v>
      </c>
      <c r="D13" s="5" t="s">
        <v>47</v>
      </c>
      <c r="E13" s="6" t="s">
        <v>2</v>
      </c>
      <c r="F13" s="10" t="s">
        <v>3</v>
      </c>
      <c r="G13" s="5" t="s">
        <v>4</v>
      </c>
      <c r="H13" s="5" t="s">
        <v>5</v>
      </c>
      <c r="I13" s="5" t="s">
        <v>6</v>
      </c>
      <c r="J13" s="5" t="s">
        <v>7</v>
      </c>
      <c r="K13" s="5" t="s">
        <v>8</v>
      </c>
      <c r="L13" s="6" t="s">
        <v>9</v>
      </c>
    </row>
    <row r="14" spans="2:25" ht="18.75" x14ac:dyDescent="0.3">
      <c r="B14" s="232" t="s">
        <v>53</v>
      </c>
      <c r="C14" s="235" t="s">
        <v>18</v>
      </c>
      <c r="D14" s="3" t="s">
        <v>44</v>
      </c>
      <c r="E14" s="27" t="s">
        <v>48</v>
      </c>
      <c r="F14" s="11">
        <v>15.43</v>
      </c>
      <c r="G14" s="12">
        <v>0</v>
      </c>
      <c r="H14" s="12">
        <f>F14+G14</f>
        <v>15.43</v>
      </c>
      <c r="I14" s="33">
        <v>17.312000000000001</v>
      </c>
      <c r="J14" s="12">
        <f>H14-I14</f>
        <v>-1.8820000000000014</v>
      </c>
      <c r="K14" s="35">
        <f>I14/H14</f>
        <v>1.1219701879455606</v>
      </c>
      <c r="L14" s="1">
        <v>44125</v>
      </c>
    </row>
    <row r="15" spans="2:25" ht="18.75" x14ac:dyDescent="0.3">
      <c r="B15" s="233"/>
      <c r="C15" s="236"/>
      <c r="D15" s="3" t="s">
        <v>45</v>
      </c>
      <c r="E15" s="27" t="s">
        <v>48</v>
      </c>
      <c r="F15" s="11">
        <v>121.28</v>
      </c>
      <c r="G15" s="12">
        <v>0</v>
      </c>
      <c r="H15" s="12">
        <f>F15+G15</f>
        <v>121.28</v>
      </c>
      <c r="I15" s="33">
        <v>83.12</v>
      </c>
      <c r="J15" s="12">
        <f>H15-I15</f>
        <v>38.159999999999997</v>
      </c>
      <c r="K15" s="35">
        <f>I15/H15</f>
        <v>0.68535620052770452</v>
      </c>
      <c r="L15" s="1" t="s">
        <v>16</v>
      </c>
    </row>
    <row r="16" spans="2:25" ht="18.75" x14ac:dyDescent="0.3">
      <c r="B16" s="233"/>
      <c r="C16" s="237"/>
      <c r="D16" s="3" t="s">
        <v>46</v>
      </c>
      <c r="E16" s="27" t="s">
        <v>48</v>
      </c>
      <c r="F16" s="11">
        <v>153</v>
      </c>
      <c r="G16" s="12">
        <v>0</v>
      </c>
      <c r="H16" s="12">
        <f t="shared" ref="H16:H18" si="6">F16+G16</f>
        <v>153</v>
      </c>
      <c r="I16" s="33">
        <v>366.56299999999999</v>
      </c>
      <c r="J16" s="13">
        <f t="shared" ref="J16:J18" si="7">H16-I16</f>
        <v>-213.56299999999999</v>
      </c>
      <c r="K16" s="35">
        <f t="shared" ref="K16:K18" si="8">I16/H16</f>
        <v>2.3958366013071895</v>
      </c>
      <c r="L16" s="26">
        <v>44117</v>
      </c>
    </row>
    <row r="17" spans="2:12" ht="18.75" x14ac:dyDescent="0.3">
      <c r="B17" s="233"/>
      <c r="C17" s="8" t="s">
        <v>10</v>
      </c>
      <c r="D17" s="3" t="s">
        <v>11</v>
      </c>
      <c r="E17" s="27" t="s">
        <v>48</v>
      </c>
      <c r="F17" s="11">
        <v>4.29</v>
      </c>
      <c r="G17" s="12">
        <v>0</v>
      </c>
      <c r="H17" s="12">
        <f t="shared" si="6"/>
        <v>4.29</v>
      </c>
      <c r="I17" s="33">
        <f>2.85+0.005</f>
        <v>2.855</v>
      </c>
      <c r="J17" s="13">
        <f t="shared" si="7"/>
        <v>1.4350000000000001</v>
      </c>
      <c r="K17" s="35">
        <f t="shared" si="8"/>
        <v>0.66550116550116545</v>
      </c>
      <c r="L17" s="26">
        <v>44117</v>
      </c>
    </row>
    <row r="18" spans="2:12" ht="18.75" x14ac:dyDescent="0.3">
      <c r="B18" s="233"/>
      <c r="C18" s="9" t="s">
        <v>12</v>
      </c>
      <c r="D18" s="3" t="s">
        <v>11</v>
      </c>
      <c r="E18" s="27" t="s">
        <v>48</v>
      </c>
      <c r="F18" s="11">
        <v>6</v>
      </c>
      <c r="G18" s="12">
        <v>0</v>
      </c>
      <c r="H18" s="12">
        <f t="shared" si="6"/>
        <v>6</v>
      </c>
      <c r="I18" s="33"/>
      <c r="J18" s="12">
        <f t="shared" si="7"/>
        <v>6</v>
      </c>
      <c r="K18" s="35">
        <f t="shared" si="8"/>
        <v>0</v>
      </c>
      <c r="L18" s="1" t="s">
        <v>16</v>
      </c>
    </row>
    <row r="19" spans="2:12" ht="19.5" thickBot="1" x14ac:dyDescent="0.3">
      <c r="B19" s="234"/>
      <c r="C19" s="238" t="s">
        <v>13</v>
      </c>
      <c r="D19" s="239"/>
      <c r="E19" s="240"/>
      <c r="F19" s="28">
        <f>SUM(F14:F18)</f>
        <v>300.00000000000006</v>
      </c>
      <c r="G19" s="29">
        <f>SUM(G14:G18)</f>
        <v>0</v>
      </c>
      <c r="H19" s="29">
        <f>F19+G19</f>
        <v>300.00000000000006</v>
      </c>
      <c r="I19" s="34">
        <f>SUM(I14:I18)</f>
        <v>469.85</v>
      </c>
      <c r="J19" s="29">
        <f>H19-I19</f>
        <v>-169.84999999999997</v>
      </c>
      <c r="K19" s="36">
        <f>I19/H19</f>
        <v>1.5661666666666665</v>
      </c>
      <c r="L19" s="30"/>
    </row>
  </sheetData>
  <mergeCells count="8">
    <mergeCell ref="B14:B19"/>
    <mergeCell ref="C14:C16"/>
    <mergeCell ref="C19:E19"/>
    <mergeCell ref="Q5:Q10"/>
    <mergeCell ref="R5:R7"/>
    <mergeCell ref="R10:S10"/>
    <mergeCell ref="B6:B8"/>
    <mergeCell ref="C8:D8"/>
  </mergeCells>
  <conditionalFormatting sqref="J6:J8"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{C8F08CB3-5017-4B88-A9C7-9C00B355ABB0}</x14:id>
        </ext>
      </extLst>
    </cfRule>
  </conditionalFormatting>
  <conditionalFormatting sqref="K14:K19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{74B15412-43AA-411E-9AF1-C8CF98A36327}</x14:id>
        </ext>
      </extLst>
    </cfRule>
  </conditionalFormatting>
  <conditionalFormatting sqref="K14:K19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{B4C18915-E887-4052-BA28-ED37DDCF67E0}</x14:id>
        </ext>
      </extLst>
    </cfRule>
  </conditionalFormatting>
  <conditionalFormatting sqref="Y5:Y10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{F6AFE3E4-FEE1-4C03-A0FA-719FEF5EC47D}</x14:id>
        </ext>
      </extLst>
    </cfRule>
  </conditionalFormatting>
  <conditionalFormatting sqref="Y5:Y1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{F38AFE36-4EE9-41F1-9F3F-633B966C0975}</x14:id>
        </ext>
      </extLst>
    </cfRule>
  </conditionalFormatting>
  <pageMargins left="0.7" right="0.7" top="0.75" bottom="0.75" header="0.3" footer="0.3"/>
  <pageSetup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8F08CB3-5017-4B88-A9C7-9C00B355ABB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J6:J8</xm:sqref>
        </x14:conditionalFormatting>
        <x14:conditionalFormatting xmlns:xm="http://schemas.microsoft.com/office/excel/2006/main">
          <x14:cfRule type="dataBar" id="{74B15412-43AA-411E-9AF1-C8CF98A3632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K14:K19</xm:sqref>
        </x14:conditionalFormatting>
        <x14:conditionalFormatting xmlns:xm="http://schemas.microsoft.com/office/excel/2006/main">
          <x14:cfRule type="dataBar" id="{B4C18915-E887-4052-BA28-ED37DDCF67E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K14:K19</xm:sqref>
        </x14:conditionalFormatting>
        <x14:conditionalFormatting xmlns:xm="http://schemas.microsoft.com/office/excel/2006/main">
          <x14:cfRule type="dataBar" id="{F6AFE3E4-FEE1-4C03-A0FA-719FEF5EC47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Y5:Y10</xm:sqref>
        </x14:conditionalFormatting>
        <x14:conditionalFormatting xmlns:xm="http://schemas.microsoft.com/office/excel/2006/main">
          <x14:cfRule type="dataBar" id="{F38AFE36-4EE9-41F1-9F3F-633B966C097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Y5:Y10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opLeftCell="E1" workbookViewId="0">
      <selection activeCell="P16" sqref="P16"/>
    </sheetView>
  </sheetViews>
  <sheetFormatPr baseColWidth="10" defaultColWidth="11.42578125" defaultRowHeight="12.75" x14ac:dyDescent="0.2"/>
  <cols>
    <col min="1" max="1" width="26" style="19" bestFit="1" customWidth="1"/>
    <col min="2" max="2" width="13" style="19" bestFit="1" customWidth="1"/>
    <col min="3" max="3" width="19.7109375" style="19" bestFit="1" customWidth="1"/>
    <col min="4" max="4" width="19.5703125" style="19" bestFit="1" customWidth="1"/>
    <col min="5" max="5" width="32.7109375" style="19" bestFit="1" customWidth="1"/>
    <col min="6" max="6" width="12" style="19" bestFit="1" customWidth="1"/>
    <col min="7" max="7" width="11.28515625" style="19" bestFit="1" customWidth="1"/>
    <col min="8" max="8" width="7.42578125" style="19" bestFit="1" customWidth="1"/>
    <col min="9" max="9" width="17.42578125" style="19" bestFit="1" customWidth="1"/>
    <col min="10" max="10" width="12.28515625" style="19" bestFit="1" customWidth="1"/>
    <col min="11" max="11" width="11.85546875" style="19" bestFit="1" customWidth="1"/>
    <col min="12" max="12" width="7.7109375" style="19" customWidth="1"/>
    <col min="13" max="13" width="17.42578125" style="21" bestFit="1" customWidth="1"/>
    <col min="14" max="14" width="10.140625" style="22" bestFit="1" customWidth="1"/>
    <col min="15" max="15" width="10.42578125" style="22" bestFit="1" customWidth="1"/>
    <col min="16" max="16" width="11.42578125" style="25"/>
    <col min="17" max="16384" width="11.42578125" style="19"/>
  </cols>
  <sheetData>
    <row r="1" spans="1:17" x14ac:dyDescent="0.2">
      <c r="A1" s="15" t="s">
        <v>19</v>
      </c>
      <c r="B1" s="15" t="s">
        <v>20</v>
      </c>
      <c r="C1" s="15" t="s">
        <v>21</v>
      </c>
      <c r="D1" s="16" t="s">
        <v>22</v>
      </c>
      <c r="E1" s="15" t="s">
        <v>23</v>
      </c>
      <c r="F1" s="15" t="s">
        <v>24</v>
      </c>
      <c r="G1" s="15" t="s">
        <v>25</v>
      </c>
      <c r="H1" s="15" t="s">
        <v>26</v>
      </c>
      <c r="I1" s="15" t="s">
        <v>27</v>
      </c>
      <c r="J1" s="15" t="s">
        <v>28</v>
      </c>
      <c r="K1" s="15" t="s">
        <v>29</v>
      </c>
      <c r="L1" s="15" t="s">
        <v>30</v>
      </c>
      <c r="M1" s="17" t="s">
        <v>31</v>
      </c>
      <c r="N1" s="18" t="s">
        <v>32</v>
      </c>
      <c r="O1" s="14" t="s">
        <v>33</v>
      </c>
      <c r="P1" s="14" t="s">
        <v>42</v>
      </c>
      <c r="Q1" s="14" t="s">
        <v>43</v>
      </c>
    </row>
    <row r="2" spans="1:17" s="137" customFormat="1" x14ac:dyDescent="0.2">
      <c r="A2" s="131" t="s">
        <v>37</v>
      </c>
      <c r="B2" s="132" t="s">
        <v>35</v>
      </c>
      <c r="C2" s="132" t="str">
        <f>+ARTESANAL!D7</f>
        <v xml:space="preserve">IV a VII </v>
      </c>
      <c r="D2" s="132" t="s">
        <v>36</v>
      </c>
      <c r="E2" s="132" t="str">
        <f>+ARTESANAL!D7</f>
        <v xml:space="preserve">IV a VII </v>
      </c>
      <c r="F2" s="133">
        <v>44484</v>
      </c>
      <c r="G2" s="133">
        <v>44491</v>
      </c>
      <c r="H2" s="134">
        <f>ARTESANAL!F7</f>
        <v>61.11</v>
      </c>
      <c r="I2" s="134">
        <f>ARTESANAL!G7</f>
        <v>0</v>
      </c>
      <c r="J2" s="134">
        <f>ARTESANAL!H7</f>
        <v>61.11</v>
      </c>
      <c r="K2" s="134">
        <f>ARTESANAL!I7</f>
        <v>10.637</v>
      </c>
      <c r="L2" s="134">
        <f>ARTESANAL!J7</f>
        <v>50.472999999999999</v>
      </c>
      <c r="M2" s="111">
        <f>ARTESANAL!K7</f>
        <v>0.17406316478481429</v>
      </c>
      <c r="N2" s="133" t="str">
        <f>ARTESANAL!L7</f>
        <v>-</v>
      </c>
      <c r="O2" s="133">
        <f>ARTESANAL!$C$4</f>
        <v>44536</v>
      </c>
      <c r="P2" s="135">
        <f>YEAR(O2)</f>
        <v>2021</v>
      </c>
      <c r="Q2" s="136"/>
    </row>
    <row r="3" spans="1:17" s="137" customFormat="1" x14ac:dyDescent="0.2">
      <c r="A3" s="131" t="s">
        <v>37</v>
      </c>
      <c r="B3" s="132" t="s">
        <v>35</v>
      </c>
      <c r="C3" s="132" t="str">
        <f>+ARTESANAL!D8</f>
        <v>XVI</v>
      </c>
      <c r="D3" s="132" t="s">
        <v>36</v>
      </c>
      <c r="E3" s="132" t="str">
        <f>+ARTESANAL!D8</f>
        <v>XVI</v>
      </c>
      <c r="F3" s="133">
        <v>44440</v>
      </c>
      <c r="G3" s="133">
        <v>44530</v>
      </c>
      <c r="H3" s="134">
        <f>ARTESANAL!F8</f>
        <v>15.98</v>
      </c>
      <c r="I3" s="134">
        <f>ARTESANAL!G8</f>
        <v>0</v>
      </c>
      <c r="J3" s="134">
        <f>ARTESANAL!H8</f>
        <v>15.98</v>
      </c>
      <c r="K3" s="134">
        <f>ARTESANAL!I8</f>
        <v>0</v>
      </c>
      <c r="L3" s="134">
        <f>ARTESANAL!J8</f>
        <v>15.98</v>
      </c>
      <c r="M3" s="111">
        <f>ARTESANAL!K8</f>
        <v>0</v>
      </c>
      <c r="N3" s="133" t="s">
        <v>16</v>
      </c>
      <c r="O3" s="133">
        <f>ARTESANAL!$C$4</f>
        <v>44536</v>
      </c>
      <c r="P3" s="135">
        <f t="shared" ref="P3:P5" si="0">YEAR(O3)</f>
        <v>2021</v>
      </c>
      <c r="Q3" s="136"/>
    </row>
    <row r="4" spans="1:17" s="137" customFormat="1" x14ac:dyDescent="0.2">
      <c r="A4" s="131" t="s">
        <v>37</v>
      </c>
      <c r="B4" s="132" t="s">
        <v>35</v>
      </c>
      <c r="C4" s="132" t="str">
        <f>+ARTESANAL!D9</f>
        <v>VIII</v>
      </c>
      <c r="D4" s="132" t="s">
        <v>36</v>
      </c>
      <c r="E4" s="132" t="str">
        <f>+ARTESANAL!D9</f>
        <v>VIII</v>
      </c>
      <c r="F4" s="133">
        <v>44440</v>
      </c>
      <c r="G4" s="133">
        <v>44530</v>
      </c>
      <c r="H4" s="134">
        <f>ARTESANAL!F9</f>
        <v>217.28</v>
      </c>
      <c r="I4" s="134">
        <f>ARTESANAL!G9</f>
        <v>0</v>
      </c>
      <c r="J4" s="134">
        <f>ARTESANAL!H9</f>
        <v>217.28</v>
      </c>
      <c r="K4" s="134">
        <f>ARTESANAL!I9</f>
        <v>56.463000000000001</v>
      </c>
      <c r="L4" s="134">
        <f>ARTESANAL!J9</f>
        <v>160.81700000000001</v>
      </c>
      <c r="M4" s="111">
        <f>ARTESANAL!K9</f>
        <v>0.25986284977908691</v>
      </c>
      <c r="N4" s="133" t="s">
        <v>16</v>
      </c>
      <c r="O4" s="133">
        <f>ARTESANAL!$C$4</f>
        <v>44536</v>
      </c>
      <c r="P4" s="135">
        <f t="shared" si="0"/>
        <v>2021</v>
      </c>
      <c r="Q4" s="136"/>
    </row>
    <row r="5" spans="1:17" s="137" customFormat="1" x14ac:dyDescent="0.2">
      <c r="A5" s="131" t="s">
        <v>37</v>
      </c>
      <c r="B5" s="132" t="s">
        <v>35</v>
      </c>
      <c r="C5" s="132" t="str">
        <f>+ARTESANAL!D10</f>
        <v>IX</v>
      </c>
      <c r="D5" s="132" t="s">
        <v>36</v>
      </c>
      <c r="E5" s="132" t="str">
        <f>+ARTESANAL!D10</f>
        <v>IX</v>
      </c>
      <c r="F5" s="133">
        <v>44431</v>
      </c>
      <c r="G5" s="133">
        <v>44530</v>
      </c>
      <c r="H5" s="134">
        <f>ARTESANAL!F10</f>
        <v>30.29</v>
      </c>
      <c r="I5" s="134">
        <f>ARTESANAL!G10</f>
        <v>0</v>
      </c>
      <c r="J5" s="134">
        <f>ARTESANAL!H10</f>
        <v>30.29</v>
      </c>
      <c r="K5" s="134">
        <f>ARTESANAL!I10</f>
        <v>13.054</v>
      </c>
      <c r="L5" s="134">
        <f>ARTESANAL!J10</f>
        <v>17.235999999999997</v>
      </c>
      <c r="M5" s="111">
        <f>ARTESANAL!K10</f>
        <v>0.43096731594585674</v>
      </c>
      <c r="N5" s="133" t="s">
        <v>16</v>
      </c>
      <c r="O5" s="133">
        <f>ARTESANAL!$C$4</f>
        <v>44536</v>
      </c>
      <c r="P5" s="135">
        <f t="shared" si="0"/>
        <v>2021</v>
      </c>
      <c r="Q5" s="136"/>
    </row>
    <row r="6" spans="1:17" s="137" customFormat="1" x14ac:dyDescent="0.2">
      <c r="A6" s="131" t="s">
        <v>37</v>
      </c>
      <c r="B6" s="132" t="s">
        <v>35</v>
      </c>
      <c r="C6" s="132" t="str">
        <f>+ARTESANAL!D11</f>
        <v>XIV</v>
      </c>
      <c r="D6" s="132" t="s">
        <v>36</v>
      </c>
      <c r="E6" s="132" t="str">
        <f>+ARTESANAL!D11</f>
        <v>XIV</v>
      </c>
      <c r="F6" s="133">
        <v>44431</v>
      </c>
      <c r="G6" s="133">
        <v>44530</v>
      </c>
      <c r="H6" s="134">
        <f>ARTESANAL!F11</f>
        <v>216.42</v>
      </c>
      <c r="I6" s="134">
        <f>ARTESANAL!G11</f>
        <v>0</v>
      </c>
      <c r="J6" s="134">
        <f>ARTESANAL!H11</f>
        <v>216.42</v>
      </c>
      <c r="K6" s="134">
        <f>ARTESANAL!I11</f>
        <v>1.4999999999999999E-2</v>
      </c>
      <c r="L6" s="134">
        <f>ARTESANAL!J11</f>
        <v>216.405</v>
      </c>
      <c r="M6" s="111">
        <f>ARTESANAL!K11</f>
        <v>6.9309675630718049E-5</v>
      </c>
      <c r="N6" s="133" t="s">
        <v>16</v>
      </c>
      <c r="O6" s="133">
        <f>ARTESANAL!$C$4</f>
        <v>44536</v>
      </c>
      <c r="P6" s="135">
        <f t="shared" ref="P6:P19" si="1">YEAR(O6)</f>
        <v>2021</v>
      </c>
      <c r="Q6" s="136"/>
    </row>
    <row r="7" spans="1:17" s="137" customFormat="1" x14ac:dyDescent="0.2">
      <c r="A7" s="131" t="s">
        <v>37</v>
      </c>
      <c r="B7" s="132" t="s">
        <v>35</v>
      </c>
      <c r="C7" s="132" t="s">
        <v>115</v>
      </c>
      <c r="D7" s="132" t="s">
        <v>36</v>
      </c>
      <c r="E7" s="132" t="s">
        <v>115</v>
      </c>
      <c r="F7" s="133">
        <v>44484</v>
      </c>
      <c r="G7" s="133">
        <v>44491</v>
      </c>
      <c r="H7" s="134">
        <f>+ARTESANAL!F12</f>
        <v>416.29</v>
      </c>
      <c r="I7" s="134">
        <f>ARTESANAL!G12</f>
        <v>0</v>
      </c>
      <c r="J7" s="134">
        <f>ARTESANAL!H12</f>
        <v>416.29</v>
      </c>
      <c r="K7" s="134">
        <f>ARTESANAL!I12</f>
        <v>371.47899999999998</v>
      </c>
      <c r="L7" s="134">
        <f>ARTESANAL!J12</f>
        <v>44.811000000000035</v>
      </c>
      <c r="M7" s="111">
        <f>ARTESANAL!K12</f>
        <v>0.89235629008623785</v>
      </c>
      <c r="N7" s="133" t="s">
        <v>16</v>
      </c>
      <c r="O7" s="133">
        <f>ARTESANAL!$C$4</f>
        <v>44536</v>
      </c>
      <c r="P7" s="135">
        <f t="shared" si="1"/>
        <v>2021</v>
      </c>
      <c r="Q7" s="136"/>
    </row>
    <row r="8" spans="1:17" s="137" customFormat="1" x14ac:dyDescent="0.2">
      <c r="A8" s="131" t="s">
        <v>37</v>
      </c>
      <c r="B8" s="132" t="s">
        <v>35</v>
      </c>
      <c r="C8" s="132" t="s">
        <v>116</v>
      </c>
      <c r="D8" s="132" t="s">
        <v>36</v>
      </c>
      <c r="E8" s="132" t="s">
        <v>116</v>
      </c>
      <c r="F8" s="133">
        <v>44484</v>
      </c>
      <c r="G8" s="133">
        <v>44491</v>
      </c>
      <c r="H8" s="134">
        <f>+ARTESANAL!F13</f>
        <v>107.78</v>
      </c>
      <c r="I8" s="134">
        <f>ARTESANAL!G13</f>
        <v>0</v>
      </c>
      <c r="J8" s="134">
        <f>ARTESANAL!H13</f>
        <v>107.78</v>
      </c>
      <c r="K8" s="134">
        <f>ARTESANAL!I13</f>
        <v>92.78</v>
      </c>
      <c r="L8" s="134">
        <f>ARTESANAL!J13</f>
        <v>15</v>
      </c>
      <c r="M8" s="111">
        <f>ARTESANAL!K13</f>
        <v>0.86082761180181855</v>
      </c>
      <c r="N8" s="133" t="s">
        <v>16</v>
      </c>
      <c r="O8" s="133">
        <f>ARTESANAL!$C$4</f>
        <v>44536</v>
      </c>
      <c r="P8" s="135">
        <f t="shared" ref="P8" si="2">YEAR(O8)</f>
        <v>2021</v>
      </c>
      <c r="Q8" s="136"/>
    </row>
    <row r="9" spans="1:17" s="137" customFormat="1" x14ac:dyDescent="0.2">
      <c r="A9" s="131" t="s">
        <v>37</v>
      </c>
      <c r="B9" s="132" t="s">
        <v>35</v>
      </c>
      <c r="C9" s="132" t="str">
        <f>+ARTESANAL!D14</f>
        <v>XII</v>
      </c>
      <c r="D9" s="132" t="s">
        <v>36</v>
      </c>
      <c r="E9" s="132" t="str">
        <f>+ARTESANAL!D14</f>
        <v>XII</v>
      </c>
      <c r="F9" s="133">
        <v>44484</v>
      </c>
      <c r="G9" s="133">
        <v>44491</v>
      </c>
      <c r="H9" s="134">
        <f>ARTESANAL!F14</f>
        <v>81.44</v>
      </c>
      <c r="I9" s="134">
        <f>ARTESANAL!G14</f>
        <v>0</v>
      </c>
      <c r="J9" s="134">
        <f>ARTESANAL!H14</f>
        <v>81.44</v>
      </c>
      <c r="K9" s="134">
        <f>ARTESANAL!I14</f>
        <v>0</v>
      </c>
      <c r="L9" s="134">
        <f>ARTESANAL!J14</f>
        <v>81.44</v>
      </c>
      <c r="M9" s="111">
        <f>ARTESANAL!K14</f>
        <v>0</v>
      </c>
      <c r="N9" s="133" t="s">
        <v>16</v>
      </c>
      <c r="O9" s="133">
        <f>ARTESANAL!$C$4</f>
        <v>44536</v>
      </c>
      <c r="P9" s="135">
        <f t="shared" si="1"/>
        <v>2021</v>
      </c>
      <c r="Q9" s="136"/>
    </row>
    <row r="10" spans="1:17" s="137" customFormat="1" x14ac:dyDescent="0.2">
      <c r="A10" s="131" t="s">
        <v>37</v>
      </c>
      <c r="B10" s="132" t="s">
        <v>35</v>
      </c>
      <c r="C10" s="132" t="s">
        <v>34</v>
      </c>
      <c r="D10" s="132" t="s">
        <v>66</v>
      </c>
      <c r="E10" s="132" t="s">
        <v>65</v>
      </c>
      <c r="F10" s="133">
        <v>44287</v>
      </c>
      <c r="G10" s="133">
        <v>44530</v>
      </c>
      <c r="H10" s="134">
        <f>+INDUSTRIAL!F7</f>
        <v>35.46</v>
      </c>
      <c r="I10" s="134">
        <f>+INDUSTRIAL!G7</f>
        <v>0</v>
      </c>
      <c r="J10" s="134">
        <f>+INDUSTRIAL!H7</f>
        <v>35.46</v>
      </c>
      <c r="K10" s="134">
        <f>+INDUSTRIAL!I7</f>
        <v>2.7E-2</v>
      </c>
      <c r="L10" s="134">
        <f>+INDUSTRIAL!J7</f>
        <v>35.433</v>
      </c>
      <c r="M10" s="111">
        <f>+INDUSTRIAL!K7</f>
        <v>7.614213197969543E-4</v>
      </c>
      <c r="N10" s="133" t="s">
        <v>16</v>
      </c>
      <c r="O10" s="133">
        <f>ARTESANAL!$C$4</f>
        <v>44536</v>
      </c>
      <c r="P10" s="135">
        <f t="shared" ref="P10" si="3">YEAR(O10)</f>
        <v>2021</v>
      </c>
      <c r="Q10" s="136"/>
    </row>
    <row r="11" spans="1:17" s="137" customFormat="1" x14ac:dyDescent="0.2">
      <c r="A11" s="131" t="s">
        <v>37</v>
      </c>
      <c r="B11" s="132" t="s">
        <v>35</v>
      </c>
      <c r="C11" s="132" t="s">
        <v>34</v>
      </c>
      <c r="D11" s="132" t="s">
        <v>64</v>
      </c>
      <c r="E11" s="132" t="s">
        <v>67</v>
      </c>
      <c r="F11" s="133">
        <v>44287</v>
      </c>
      <c r="G11" s="133">
        <v>44530</v>
      </c>
      <c r="H11" s="134">
        <f>+H2+H3+H4+H5+H6+H9+H10</f>
        <v>657.98</v>
      </c>
      <c r="I11" s="134">
        <f t="shared" ref="I11" si="4">SUM(I2:I10)</f>
        <v>0</v>
      </c>
      <c r="J11" s="134">
        <f>+H11+I11</f>
        <v>657.98</v>
      </c>
      <c r="K11" s="134">
        <f>SUM(K2:K10)</f>
        <v>544.45500000000004</v>
      </c>
      <c r="L11" s="134">
        <f>+J11-K11</f>
        <v>113.52499999999998</v>
      </c>
      <c r="M11" s="111">
        <f>+K11/J11</f>
        <v>0.82746436061886386</v>
      </c>
      <c r="N11" s="133" t="s">
        <v>16</v>
      </c>
      <c r="O11" s="133">
        <f>ARTESANAL!$C$4</f>
        <v>44536</v>
      </c>
      <c r="P11" s="135">
        <f>YEAR(O11)</f>
        <v>2021</v>
      </c>
      <c r="Q11" s="136"/>
    </row>
    <row r="12" spans="1:17" x14ac:dyDescent="0.2">
      <c r="A12" s="131" t="s">
        <v>38</v>
      </c>
      <c r="B12" s="132" t="s">
        <v>39</v>
      </c>
      <c r="C12" s="132" t="s">
        <v>74</v>
      </c>
      <c r="D12" s="132" t="s">
        <v>99</v>
      </c>
      <c r="E12" s="132" t="s">
        <v>74</v>
      </c>
      <c r="F12" s="133">
        <v>44484</v>
      </c>
      <c r="G12" s="133">
        <v>44491</v>
      </c>
      <c r="H12" s="134">
        <f>+ARTESANAL!F21</f>
        <v>12.6</v>
      </c>
      <c r="I12" s="134">
        <f>+ARTESANAL!G21</f>
        <v>0</v>
      </c>
      <c r="J12" s="134">
        <f>ARTESANAL!H21</f>
        <v>12.6</v>
      </c>
      <c r="K12" s="134">
        <f>+ARTESANAL!I21</f>
        <v>12.645</v>
      </c>
      <c r="L12" s="134">
        <f>ARTESANAL!J21</f>
        <v>-4.4999999999999929E-2</v>
      </c>
      <c r="M12" s="111">
        <f>+ARTESANAL!K21</f>
        <v>1.0035714285714286</v>
      </c>
      <c r="N12" s="133" t="s">
        <v>16</v>
      </c>
      <c r="O12" s="20">
        <f>ARTESANAL!$C$4</f>
        <v>44536</v>
      </c>
      <c r="P12" s="24">
        <f t="shared" si="1"/>
        <v>2021</v>
      </c>
      <c r="Q12" s="23"/>
    </row>
    <row r="13" spans="1:17" x14ac:dyDescent="0.2">
      <c r="A13" s="131" t="s">
        <v>38</v>
      </c>
      <c r="B13" s="132" t="s">
        <v>39</v>
      </c>
      <c r="C13" s="132" t="s">
        <v>75</v>
      </c>
      <c r="D13" s="132" t="s">
        <v>99</v>
      </c>
      <c r="E13" s="132" t="s">
        <v>75</v>
      </c>
      <c r="F13" s="133">
        <v>44440</v>
      </c>
      <c r="G13" s="133">
        <v>44530</v>
      </c>
      <c r="H13" s="134">
        <f>+ARTESANAL!F22</f>
        <v>98.96</v>
      </c>
      <c r="I13" s="134">
        <f>+ARTESANAL!G22</f>
        <v>0</v>
      </c>
      <c r="J13" s="134">
        <f>+ARTESANAL!H22</f>
        <v>98.96</v>
      </c>
      <c r="K13" s="134">
        <f>+ARTESANAL!I22</f>
        <v>19.623999999999999</v>
      </c>
      <c r="L13" s="134">
        <f>+ARTESANAL!J22</f>
        <v>78.724999999999994</v>
      </c>
      <c r="M13" s="111">
        <f>+ARTESANAL!K22</f>
        <v>0.2044765561843169</v>
      </c>
      <c r="N13" s="133" t="s">
        <v>16</v>
      </c>
      <c r="O13" s="20">
        <f>ARTESANAL!$C$4</f>
        <v>44536</v>
      </c>
      <c r="P13" s="24">
        <f t="shared" ref="P13:P17" si="5">YEAR(O13)</f>
        <v>2021</v>
      </c>
      <c r="Q13" s="23"/>
    </row>
    <row r="14" spans="1:17" x14ac:dyDescent="0.2">
      <c r="A14" s="131" t="s">
        <v>38</v>
      </c>
      <c r="B14" s="132" t="s">
        <v>39</v>
      </c>
      <c r="C14" s="132" t="s">
        <v>76</v>
      </c>
      <c r="D14" s="132" t="s">
        <v>99</v>
      </c>
      <c r="E14" s="132" t="s">
        <v>76</v>
      </c>
      <c r="F14" s="133">
        <v>44431</v>
      </c>
      <c r="G14" s="133">
        <v>44530</v>
      </c>
      <c r="H14" s="134">
        <f>+ARTESANAL!F22</f>
        <v>98.96</v>
      </c>
      <c r="I14" s="134">
        <f>+ARTESANAL!G23</f>
        <v>0</v>
      </c>
      <c r="J14" s="134">
        <f>+ARTESANAL!H22</f>
        <v>98.96</v>
      </c>
      <c r="K14" s="134">
        <f>+ARTESANAL!I23</f>
        <v>0.61099999999999999</v>
      </c>
      <c r="L14" s="134">
        <f>+ARTESANAL!J22</f>
        <v>78.724999999999994</v>
      </c>
      <c r="M14" s="111">
        <f>+ARTESANAL!K22</f>
        <v>0.2044765561843169</v>
      </c>
      <c r="N14" s="133" t="s">
        <v>16</v>
      </c>
      <c r="O14" s="20">
        <f>ARTESANAL!$C$4</f>
        <v>44536</v>
      </c>
      <c r="P14" s="24">
        <f t="shared" si="5"/>
        <v>2021</v>
      </c>
      <c r="Q14" s="23"/>
    </row>
    <row r="15" spans="1:17" x14ac:dyDescent="0.2">
      <c r="A15" s="131" t="s">
        <v>38</v>
      </c>
      <c r="B15" s="132" t="s">
        <v>39</v>
      </c>
      <c r="C15" s="132" t="s">
        <v>115</v>
      </c>
      <c r="D15" s="132" t="s">
        <v>99</v>
      </c>
      <c r="E15" s="132" t="s">
        <v>115</v>
      </c>
      <c r="F15" s="133">
        <v>44484</v>
      </c>
      <c r="G15" s="133">
        <v>44530</v>
      </c>
      <c r="H15" s="134">
        <f>+ARTESANAL!F24</f>
        <v>124.84</v>
      </c>
      <c r="I15" s="134">
        <f>+ARTESANAL!G24</f>
        <v>0</v>
      </c>
      <c r="J15" s="134">
        <f>+ARTESANAL!H24</f>
        <v>124.84</v>
      </c>
      <c r="K15" s="134">
        <f>+ARTESANAL!I24</f>
        <v>9.7710000000000008</v>
      </c>
      <c r="L15" s="134">
        <f>+ARTESANAL!J24</f>
        <v>112.271</v>
      </c>
      <c r="M15" s="111">
        <f>+ARTESANAL!K24</f>
        <v>0.10068087151553989</v>
      </c>
      <c r="N15" s="133" t="s">
        <v>16</v>
      </c>
      <c r="O15" s="20">
        <f>ARTESANAL!$C$4</f>
        <v>44536</v>
      </c>
      <c r="P15" s="24">
        <f t="shared" si="5"/>
        <v>2021</v>
      </c>
      <c r="Q15" s="23"/>
    </row>
    <row r="16" spans="1:17" x14ac:dyDescent="0.2">
      <c r="A16" s="131" t="s">
        <v>38</v>
      </c>
      <c r="B16" s="132" t="s">
        <v>39</v>
      </c>
      <c r="C16" s="132" t="s">
        <v>116</v>
      </c>
      <c r="D16" s="132" t="s">
        <v>99</v>
      </c>
      <c r="E16" s="132" t="s">
        <v>116</v>
      </c>
      <c r="F16" s="133">
        <v>44484</v>
      </c>
      <c r="G16" s="133">
        <v>44530</v>
      </c>
      <c r="H16" s="134">
        <f>+ARTESANAL!F24</f>
        <v>124.84</v>
      </c>
      <c r="I16" s="134">
        <f>+ARTESANAL!G24</f>
        <v>0</v>
      </c>
      <c r="J16" s="134">
        <f>+ARTESANAL!H24</f>
        <v>124.84</v>
      </c>
      <c r="K16" s="134">
        <f>+ARTESANAL!I25</f>
        <v>2.7949999999999999</v>
      </c>
      <c r="L16" s="134">
        <f>+ARTESANAL!J24</f>
        <v>112.271</v>
      </c>
      <c r="M16" s="111">
        <f>+ARTESANAL!K24</f>
        <v>0.10068087151553989</v>
      </c>
      <c r="N16" s="133"/>
      <c r="O16" s="20">
        <f>ARTESANAL!$C$4</f>
        <v>44536</v>
      </c>
      <c r="P16" s="24">
        <f t="shared" ref="P16" si="6">YEAR(O16)</f>
        <v>2021</v>
      </c>
      <c r="Q16" s="23"/>
    </row>
    <row r="17" spans="1:17" x14ac:dyDescent="0.2">
      <c r="A17" s="131" t="s">
        <v>38</v>
      </c>
      <c r="B17" s="132" t="s">
        <v>39</v>
      </c>
      <c r="C17" s="132" t="s">
        <v>117</v>
      </c>
      <c r="D17" s="132" t="s">
        <v>99</v>
      </c>
      <c r="E17" s="132" t="s">
        <v>117</v>
      </c>
      <c r="F17" s="133">
        <v>44484</v>
      </c>
      <c r="G17" s="133">
        <v>44530</v>
      </c>
      <c r="H17" s="134">
        <f>+ARTESANAL!F24</f>
        <v>124.84</v>
      </c>
      <c r="I17" s="134">
        <f>+ARTESANAL!G24</f>
        <v>0</v>
      </c>
      <c r="J17" s="134">
        <f>+ARTESANAL!H24</f>
        <v>124.84</v>
      </c>
      <c r="K17" s="134">
        <f>+ARTESANAL!I26</f>
        <v>3.0000000000000001E-3</v>
      </c>
      <c r="L17" s="134">
        <f>+ARTESANAL!J24</f>
        <v>112.271</v>
      </c>
      <c r="M17" s="111">
        <f>+ARTESANAL!K24</f>
        <v>0.10068087151553989</v>
      </c>
      <c r="N17" s="133" t="s">
        <v>16</v>
      </c>
      <c r="O17" s="20">
        <f>ARTESANAL!$C$4</f>
        <v>44536</v>
      </c>
      <c r="P17" s="24">
        <f t="shared" si="5"/>
        <v>2021</v>
      </c>
      <c r="Q17" s="23"/>
    </row>
    <row r="18" spans="1:17" x14ac:dyDescent="0.2">
      <c r="A18" s="131" t="s">
        <v>41</v>
      </c>
      <c r="B18" s="132" t="s">
        <v>39</v>
      </c>
      <c r="C18" s="132" t="s">
        <v>34</v>
      </c>
      <c r="D18" s="132" t="s">
        <v>100</v>
      </c>
      <c r="E18" s="132" t="s">
        <v>101</v>
      </c>
      <c r="F18" s="133">
        <v>44287</v>
      </c>
      <c r="G18" s="133">
        <v>44530</v>
      </c>
      <c r="H18" s="134">
        <f>+INDUSTRIAL!F13</f>
        <v>236.39999999999998</v>
      </c>
      <c r="I18" s="134">
        <f>+INDUSTRIAL!G13</f>
        <v>0</v>
      </c>
      <c r="J18" s="134">
        <f>+INDUSTRIAL!H13</f>
        <v>236.39999999999998</v>
      </c>
      <c r="K18" s="134">
        <f>+INDUSTRIAL!I13</f>
        <v>0</v>
      </c>
      <c r="L18" s="134">
        <f>+INDUSTRIAL!J13</f>
        <v>193.74599999999998</v>
      </c>
      <c r="M18" s="111">
        <f>+INDUSTRIAL!K13</f>
        <v>0</v>
      </c>
      <c r="N18" s="133" t="s">
        <v>16</v>
      </c>
      <c r="O18" s="20">
        <f>ARTESANAL!$C$4</f>
        <v>44536</v>
      </c>
      <c r="P18" s="24">
        <f t="shared" si="1"/>
        <v>2021</v>
      </c>
      <c r="Q18" s="23"/>
    </row>
    <row r="19" spans="1:17" x14ac:dyDescent="0.2">
      <c r="A19" s="131" t="s">
        <v>40</v>
      </c>
      <c r="B19" s="132" t="s">
        <v>39</v>
      </c>
      <c r="C19" s="132" t="s">
        <v>34</v>
      </c>
      <c r="D19" s="132" t="s">
        <v>64</v>
      </c>
      <c r="E19" s="132" t="s">
        <v>67</v>
      </c>
      <c r="F19" s="133">
        <v>44287</v>
      </c>
      <c r="G19" s="133">
        <v>44530</v>
      </c>
      <c r="H19" s="134">
        <f>+H12+H13+H17+H18</f>
        <v>472.79999999999995</v>
      </c>
      <c r="I19" s="134">
        <f>+I12+I13+I14+I15+I17+I18</f>
        <v>0</v>
      </c>
      <c r="J19" s="134">
        <f>+H19-I19</f>
        <v>472.79999999999995</v>
      </c>
      <c r="K19" s="134">
        <f>+K12+K13+K14+K15+K17+K18</f>
        <v>42.653999999999996</v>
      </c>
      <c r="L19" s="134">
        <f>+J19-K19</f>
        <v>430.14599999999996</v>
      </c>
      <c r="M19" s="111">
        <f>+K19/J19</f>
        <v>9.0215736040609132E-2</v>
      </c>
      <c r="N19" s="133" t="s">
        <v>16</v>
      </c>
      <c r="O19" s="20">
        <f>ARTESANAL!$C$4</f>
        <v>44536</v>
      </c>
      <c r="P19" s="24">
        <f t="shared" si="1"/>
        <v>2021</v>
      </c>
      <c r="Q19" s="23"/>
    </row>
  </sheetData>
  <pageMargins left="0.7" right="0.7" top="0.75" bottom="0.75" header="0.3" footer="0.3"/>
  <ignoredErrors>
    <ignoredError sqref="J11 J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RESUMEN</vt:lpstr>
      <vt:lpstr>ARTESANAL</vt:lpstr>
      <vt:lpstr>INDUSTRIAL</vt:lpstr>
      <vt:lpstr>Hoja1</vt:lpstr>
      <vt:lpstr>Compliado web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CEA TELLO, MARIO ANDRES</dc:creator>
  <cp:lastModifiedBy>ZULETA ESPINOZA, GERALDINE</cp:lastModifiedBy>
  <dcterms:created xsi:type="dcterms:W3CDTF">2019-08-29T14:45:28Z</dcterms:created>
  <dcterms:modified xsi:type="dcterms:W3CDTF">2021-12-09T15:45:55Z</dcterms:modified>
</cp:coreProperties>
</file>